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28680" yWindow="1500" windowWidth="16608" windowHeight="7812" tabRatio="926" activeTab="3"/>
  </bookViews>
  <sheets>
    <sheet name="თ.ფ-1" sheetId="54" r:id="rId1"/>
    <sheet name="თ.ფ-1 (2)" sheetId="55" r:id="rId2"/>
    <sheet name="გბ" sheetId="53" r:id="rId3"/>
    <sheet name="კრებს-2" sheetId="130" r:id="rId4"/>
    <sheet name="2-1-სამ -ორხევი" sheetId="108" r:id="rId5"/>
    <sheet name="2-2-წკ" sheetId="119" r:id="rId6"/>
    <sheet name="2-3-გარე ქსელები " sheetId="129" r:id="rId7"/>
    <sheet name="2-4 ელ" sheetId="114" r:id="rId8"/>
    <sheet name="2-5-ვკ " sheetId="125" r:id="rId9"/>
    <sheet name="2-6-ეზო -ორხევი " sheetId="138" r:id="rId10"/>
  </sheets>
  <definedNames>
    <definedName name="_xlnm._FilterDatabase" localSheetId="4" hidden="1">'2-1-სამ -ორხევი'!$A$6:$L$355</definedName>
    <definedName name="_xlnm._FilterDatabase" localSheetId="5" hidden="1">'2-2-წკ'!$A$8:$L$543</definedName>
    <definedName name="_xlnm._FilterDatabase" localSheetId="6" hidden="1">'2-3-გარე ქსელები '!$A$8:$L$69</definedName>
    <definedName name="_xlnm._FilterDatabase" localSheetId="7" hidden="1">'2-4 ელ'!$A$8:$L$91</definedName>
    <definedName name="_xlnm._FilterDatabase" localSheetId="8" hidden="1">'2-5-ვკ '!$A$8:$L$57</definedName>
    <definedName name="_xlnm._FilterDatabase" localSheetId="9" hidden="1">'2-6-ეზო -ორხევი '!$A$7:$L$315</definedName>
    <definedName name="_xlnm.Print_Area" localSheetId="4">'2-1-სამ -ორხევი'!$A$1:$L$326</definedName>
    <definedName name="_xlnm.Print_Area" localSheetId="5">'2-2-წკ'!$A$1:$L$74</definedName>
    <definedName name="_xlnm.Print_Area" localSheetId="6">'2-3-გარე ქსელები '!$A$1:$L$69</definedName>
    <definedName name="_xlnm.Print_Area" localSheetId="8">'2-5-ვკ '!$A$1:$L$57</definedName>
    <definedName name="_xlnm.Print_Area" localSheetId="9">'2-6-ეზო -ორხევი '!$A$2:$L$286</definedName>
    <definedName name="_xlnm.Print_Area" localSheetId="2">გბ!$A$1:$N$15</definedName>
    <definedName name="_xlnm.Print_Area" localSheetId="3">'კრებს-2'!$A$1:$H$27</definedName>
    <definedName name="_xlnm.Print_Titles" localSheetId="4">'2-1-სამ -ორხევი'!$3:$6</definedName>
    <definedName name="_xlnm.Print_Titles" localSheetId="5">'2-2-წკ'!$6:$8</definedName>
    <definedName name="_xlnm.Print_Titles" localSheetId="6">'2-3-გარე ქსელები '!$6:$8</definedName>
    <definedName name="_xlnm.Print_Titles" localSheetId="8">'2-5-ვკ '!$6:$8</definedName>
    <definedName name="_xlnm.Print_Titles" localSheetId="9">'2-6-ეზო -ორხევი '!$4:$7</definedName>
    <definedName name="Summary" localSheetId="4">#REF!</definedName>
    <definedName name="Summary" localSheetId="5">#REF!</definedName>
    <definedName name="Summary" localSheetId="6">#REF!</definedName>
    <definedName name="Summary" localSheetId="8">#REF!</definedName>
    <definedName name="Summary" localSheetId="9">#REF!</definedName>
    <definedName name="Summary" localSheetId="1">#REF!</definedName>
    <definedName name="Summary" localSheetId="3">#REF!</definedName>
    <definedName name="Summar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5" i="138" l="1"/>
  <c r="E54" i="119"/>
  <c r="E58" i="119"/>
  <c r="E311" i="108"/>
  <c r="E279" i="108"/>
  <c r="E283" i="108"/>
  <c r="E284" i="108"/>
  <c r="E288" i="108"/>
  <c r="E67" i="114" l="1"/>
  <c r="I67" i="114" s="1"/>
  <c r="L67" i="114" s="1"/>
  <c r="E66" i="114"/>
  <c r="E69" i="114"/>
  <c r="G69" i="114" s="1"/>
  <c r="L69" i="114" s="1"/>
  <c r="E65" i="114"/>
  <c r="I65" i="114" s="1"/>
  <c r="L65" i="114" s="1"/>
  <c r="E64" i="114"/>
  <c r="E52" i="129"/>
  <c r="G52" i="129" s="1"/>
  <c r="L52" i="129" s="1"/>
  <c r="G51" i="129"/>
  <c r="L51" i="129" s="1"/>
  <c r="G50" i="129"/>
  <c r="L50" i="129" s="1"/>
  <c r="G49" i="129"/>
  <c r="L49" i="129" s="1"/>
  <c r="E48" i="129"/>
  <c r="G48" i="129" s="1"/>
  <c r="L48" i="129" s="1"/>
  <c r="E47" i="129"/>
  <c r="K47" i="129" s="1"/>
  <c r="L47" i="129" s="1"/>
  <c r="E46" i="129"/>
  <c r="I46" i="129" s="1"/>
  <c r="L46" i="129" s="1"/>
  <c r="E67" i="119"/>
  <c r="G67" i="119" s="1"/>
  <c r="L67" i="119" s="1"/>
  <c r="G66" i="119"/>
  <c r="L66" i="119" s="1"/>
  <c r="E65" i="119"/>
  <c r="G65" i="119" s="1"/>
  <c r="L65" i="119" s="1"/>
  <c r="E64" i="119"/>
  <c r="K64" i="119" s="1"/>
  <c r="L64" i="119" s="1"/>
  <c r="E63" i="119"/>
  <c r="I63" i="119" s="1"/>
  <c r="L63" i="119" s="1"/>
  <c r="E37" i="119"/>
  <c r="E33" i="119"/>
  <c r="G33" i="119" s="1"/>
  <c r="L33" i="119" s="1"/>
  <c r="G32" i="119"/>
  <c r="L32" i="119" s="1"/>
  <c r="G31" i="119"/>
  <c r="L31" i="119" s="1"/>
  <c r="E30" i="119"/>
  <c r="K30" i="119" s="1"/>
  <c r="L30" i="119" s="1"/>
  <c r="E29" i="119"/>
  <c r="I29" i="119" s="1"/>
  <c r="L29" i="119" s="1"/>
  <c r="G37" i="119" l="1"/>
  <c r="L37" i="119" s="1"/>
  <c r="G58" i="119"/>
  <c r="L58" i="119" s="1"/>
  <c r="G63" i="138"/>
  <c r="L63" i="138" s="1"/>
  <c r="G62" i="138"/>
  <c r="L62" i="138" s="1"/>
  <c r="G59" i="138"/>
  <c r="L59" i="138" s="1"/>
  <c r="G61" i="138"/>
  <c r="L61" i="138" s="1"/>
  <c r="K32" i="138"/>
  <c r="L32" i="138" s="1"/>
  <c r="K33" i="138"/>
  <c r="L33" i="138" s="1"/>
  <c r="E31" i="138"/>
  <c r="I31" i="138" s="1"/>
  <c r="L31" i="138" s="1"/>
  <c r="E306" i="108"/>
  <c r="G306" i="108" s="1"/>
  <c r="L306" i="108" s="1"/>
  <c r="E305" i="108"/>
  <c r="G305" i="108" s="1"/>
  <c r="L305" i="108" s="1"/>
  <c r="E304" i="108"/>
  <c r="E302" i="108"/>
  <c r="G302" i="108" s="1"/>
  <c r="L302" i="108" s="1"/>
  <c r="E301" i="108"/>
  <c r="G301" i="108" s="1"/>
  <c r="L301" i="108" s="1"/>
  <c r="E300" i="108"/>
  <c r="G300" i="108" s="1"/>
  <c r="L300" i="108" s="1"/>
  <c r="E299" i="108"/>
  <c r="G299" i="108" s="1"/>
  <c r="L299" i="108" s="1"/>
  <c r="E298" i="108"/>
  <c r="G298" i="108" s="1"/>
  <c r="L298" i="108" s="1"/>
  <c r="E297" i="108"/>
  <c r="G297" i="108" s="1"/>
  <c r="L297" i="108" s="1"/>
  <c r="E296" i="108"/>
  <c r="G296" i="108" s="1"/>
  <c r="L296" i="108" s="1"/>
  <c r="E295" i="108"/>
  <c r="G295" i="108" s="1"/>
  <c r="L295" i="108" s="1"/>
  <c r="G294" i="108"/>
  <c r="L294" i="108" s="1"/>
  <c r="E293" i="108"/>
  <c r="G293" i="108" s="1"/>
  <c r="L293" i="108" s="1"/>
  <c r="E292" i="108"/>
  <c r="K292" i="108" s="1"/>
  <c r="L292" i="108" s="1"/>
  <c r="E291" i="108"/>
  <c r="I291" i="108" s="1"/>
  <c r="L291" i="108" s="1"/>
  <c r="E157" i="108"/>
  <c r="G157" i="108"/>
  <c r="L157" i="108" s="1"/>
  <c r="E170" i="108"/>
  <c r="E134" i="108"/>
  <c r="E233" i="138"/>
  <c r="G233" i="138" s="1"/>
  <c r="L233" i="138" s="1"/>
  <c r="E232" i="138"/>
  <c r="G232" i="138" s="1"/>
  <c r="L232" i="138" s="1"/>
  <c r="E231" i="138"/>
  <c r="G231" i="138" s="1"/>
  <c r="L231" i="138" s="1"/>
  <c r="E230" i="138"/>
  <c r="K230" i="138" s="1"/>
  <c r="L230" i="138" s="1"/>
  <c r="E229" i="138"/>
  <c r="E227" i="138"/>
  <c r="G227" i="138" s="1"/>
  <c r="L227" i="138" s="1"/>
  <c r="E226" i="138"/>
  <c r="G226" i="138" s="1"/>
  <c r="L226" i="138" s="1"/>
  <c r="E225" i="138"/>
  <c r="G225" i="138" s="1"/>
  <c r="L225" i="138" s="1"/>
  <c r="E224" i="138"/>
  <c r="G224" i="138" s="1"/>
  <c r="L224" i="138" s="1"/>
  <c r="E223" i="138"/>
  <c r="K223" i="138" s="1"/>
  <c r="L223" i="138" s="1"/>
  <c r="E222" i="138"/>
  <c r="I222" i="138" s="1"/>
  <c r="L222" i="138" s="1"/>
  <c r="G170" i="108" l="1"/>
  <c r="L170" i="108" s="1"/>
  <c r="I304" i="108"/>
  <c r="L304" i="108" s="1"/>
  <c r="I229" i="138"/>
  <c r="L229" i="138" s="1"/>
  <c r="G134" i="108"/>
  <c r="L134" i="108" s="1"/>
  <c r="E307" i="108"/>
  <c r="G307" i="108" s="1"/>
  <c r="L307" i="108" s="1"/>
  <c r="E52" i="108"/>
  <c r="E316" i="108"/>
  <c r="E210" i="108"/>
  <c r="G210" i="108" s="1"/>
  <c r="L210" i="108" s="1"/>
  <c r="E209" i="108"/>
  <c r="G209" i="108" s="1"/>
  <c r="L209" i="108" s="1"/>
  <c r="E208" i="108"/>
  <c r="G208" i="108" s="1"/>
  <c r="L208" i="108" s="1"/>
  <c r="E207" i="108"/>
  <c r="G207" i="108" s="1"/>
  <c r="L207" i="108" s="1"/>
  <c r="E206" i="108"/>
  <c r="K206" i="108" s="1"/>
  <c r="L206" i="108" s="1"/>
  <c r="E205" i="108"/>
  <c r="I205" i="108" s="1"/>
  <c r="L205" i="108" s="1"/>
  <c r="E36" i="108"/>
  <c r="G25" i="129"/>
  <c r="L25" i="129" s="1"/>
  <c r="G24" i="129"/>
  <c r="L24" i="129" s="1"/>
  <c r="E20" i="129"/>
  <c r="E23" i="129" s="1"/>
  <c r="G23" i="129" s="1"/>
  <c r="L23" i="129" s="1"/>
  <c r="G316" i="108" l="1"/>
  <c r="L316" i="108" s="1"/>
  <c r="I36" i="108"/>
  <c r="L36" i="108" s="1"/>
  <c r="E22" i="129"/>
  <c r="K22" i="129" s="1"/>
  <c r="L22" i="129" s="1"/>
  <c r="E21" i="129"/>
  <c r="I21" i="129" s="1"/>
  <c r="L21" i="129" s="1"/>
  <c r="E27" i="129"/>
  <c r="G27" i="129" s="1"/>
  <c r="L27" i="129" s="1"/>
  <c r="E26" i="129"/>
  <c r="G26" i="129" s="1"/>
  <c r="L26" i="129" s="1"/>
  <c r="E125" i="108" l="1"/>
  <c r="G125" i="108" s="1"/>
  <c r="L125" i="108" s="1"/>
  <c r="E124" i="108"/>
  <c r="G124" i="108" s="1"/>
  <c r="L124" i="108" s="1"/>
  <c r="E123" i="108"/>
  <c r="I123" i="108" l="1"/>
  <c r="L123" i="108" s="1"/>
  <c r="E143" i="108"/>
  <c r="G143" i="108" s="1"/>
  <c r="L143" i="108" s="1"/>
  <c r="E142" i="108"/>
  <c r="G142" i="108" s="1"/>
  <c r="L142" i="108" s="1"/>
  <c r="E141" i="108"/>
  <c r="E140" i="108"/>
  <c r="K140" i="108" s="1"/>
  <c r="L140" i="108" s="1"/>
  <c r="E139" i="108"/>
  <c r="I139" i="108" s="1"/>
  <c r="L139" i="108" s="1"/>
  <c r="G141" i="108" l="1"/>
  <c r="L141" i="108" s="1"/>
  <c r="G21" i="125" l="1"/>
  <c r="L21" i="125" s="1"/>
  <c r="E22" i="125"/>
  <c r="E40" i="129" l="1"/>
  <c r="I40" i="129" s="1"/>
  <c r="L40" i="129" s="1"/>
  <c r="G37" i="129"/>
  <c r="L37" i="129" s="1"/>
  <c r="G36" i="129"/>
  <c r="L36" i="129" s="1"/>
  <c r="E61" i="119"/>
  <c r="G61" i="119" s="1"/>
  <c r="L61" i="119" s="1"/>
  <c r="G60" i="119"/>
  <c r="L60" i="119" s="1"/>
  <c r="G59" i="119"/>
  <c r="L59" i="119" s="1"/>
  <c r="E57" i="119"/>
  <c r="K57" i="119" s="1"/>
  <c r="L57" i="119" s="1"/>
  <c r="E56" i="119"/>
  <c r="I56" i="119" s="1"/>
  <c r="L56" i="119" s="1"/>
  <c r="E45" i="119"/>
  <c r="G45" i="119" s="1"/>
  <c r="L45" i="119" s="1"/>
  <c r="G44" i="119"/>
  <c r="L44" i="119" s="1"/>
  <c r="G43" i="119"/>
  <c r="L43" i="119" s="1"/>
  <c r="E42" i="119"/>
  <c r="K42" i="119" s="1"/>
  <c r="L42" i="119" s="1"/>
  <c r="E41" i="119"/>
  <c r="I41" i="119" s="1"/>
  <c r="L41" i="119" s="1"/>
  <c r="D39" i="138" l="1"/>
  <c r="D55" i="108"/>
  <c r="D203" i="108" l="1"/>
  <c r="E51" i="108" l="1"/>
  <c r="I51" i="108" s="1"/>
  <c r="L51" i="108" s="1"/>
  <c r="E35" i="138"/>
  <c r="I35" i="138" s="1"/>
  <c r="L35" i="138" s="1"/>
  <c r="E41" i="138"/>
  <c r="K41" i="138" s="1"/>
  <c r="L41" i="138" s="1"/>
  <c r="E39" i="138"/>
  <c r="K39" i="138" s="1"/>
  <c r="L39" i="138" s="1"/>
  <c r="K37" i="138"/>
  <c r="L37" i="138" s="1"/>
  <c r="E57" i="108"/>
  <c r="K57" i="108" s="1"/>
  <c r="L57" i="108" s="1"/>
  <c r="E55" i="108"/>
  <c r="K55" i="108" s="1"/>
  <c r="L55" i="108" s="1"/>
  <c r="K53" i="108"/>
  <c r="L53" i="108" s="1"/>
  <c r="E190" i="108" l="1"/>
  <c r="G190" i="108" s="1"/>
  <c r="L190" i="108" s="1"/>
  <c r="E189" i="108"/>
  <c r="G189" i="108" s="1"/>
  <c r="L189" i="108" s="1"/>
  <c r="E188" i="108"/>
  <c r="I188" i="108" s="1"/>
  <c r="L188" i="108" s="1"/>
  <c r="E216" i="108"/>
  <c r="G216" i="108" s="1"/>
  <c r="L216" i="108" s="1"/>
  <c r="E215" i="108"/>
  <c r="G215" i="108" s="1"/>
  <c r="L215" i="108" s="1"/>
  <c r="E214" i="108"/>
  <c r="G214" i="108" s="1"/>
  <c r="L214" i="108" s="1"/>
  <c r="E213" i="108"/>
  <c r="K213" i="108" s="1"/>
  <c r="L213" i="108" s="1"/>
  <c r="E212" i="108"/>
  <c r="I212" i="108" s="1"/>
  <c r="L212" i="108" s="1"/>
  <c r="E111" i="108"/>
  <c r="E110" i="108"/>
  <c r="E109" i="108"/>
  <c r="E108" i="108"/>
  <c r="E107" i="108"/>
  <c r="E106" i="108"/>
  <c r="E105" i="108"/>
  <c r="E104" i="108"/>
  <c r="E103" i="108"/>
  <c r="G103" i="108" s="1"/>
  <c r="L103" i="108" s="1"/>
  <c r="E102" i="108"/>
  <c r="I102" i="108" s="1"/>
  <c r="L102" i="108" s="1"/>
  <c r="G104" i="108" l="1"/>
  <c r="L104" i="108" s="1"/>
  <c r="G106" i="108"/>
  <c r="L106" i="108" s="1"/>
  <c r="G108" i="108"/>
  <c r="L108" i="108" s="1"/>
  <c r="G105" i="108"/>
  <c r="L105" i="108" s="1"/>
  <c r="G107" i="108"/>
  <c r="L107" i="108" s="1"/>
  <c r="G109" i="108"/>
  <c r="L109" i="108" s="1"/>
  <c r="G110" i="108"/>
  <c r="L110" i="108" s="1"/>
  <c r="E220" i="138" l="1"/>
  <c r="G220" i="138" s="1"/>
  <c r="L220" i="138" s="1"/>
  <c r="E219" i="138"/>
  <c r="K219" i="138" s="1"/>
  <c r="L219" i="138" s="1"/>
  <c r="E218" i="138"/>
  <c r="I218" i="138" s="1"/>
  <c r="L218" i="138" s="1"/>
  <c r="E27" i="138"/>
  <c r="I27" i="138" s="1"/>
  <c r="L27" i="138" s="1"/>
  <c r="D45" i="108"/>
  <c r="E45" i="108" s="1"/>
  <c r="K45" i="108" s="1"/>
  <c r="L45" i="108" s="1"/>
  <c r="D44" i="108"/>
  <c r="E44" i="108" s="1"/>
  <c r="I44" i="108" s="1"/>
  <c r="L44" i="108" s="1"/>
  <c r="D18" i="138"/>
  <c r="E18" i="138" s="1"/>
  <c r="K18" i="138" s="1"/>
  <c r="L18" i="138" s="1"/>
  <c r="D17" i="138"/>
  <c r="E17" i="138" s="1"/>
  <c r="I17" i="138" s="1"/>
  <c r="L17" i="138" s="1"/>
  <c r="E137" i="108"/>
  <c r="G137" i="108" s="1"/>
  <c r="L137" i="108" s="1"/>
  <c r="E136" i="108"/>
  <c r="G136" i="108" s="1"/>
  <c r="L136" i="108" s="1"/>
  <c r="E135" i="108"/>
  <c r="G135" i="108" s="1"/>
  <c r="L135" i="108" s="1"/>
  <c r="E133" i="108"/>
  <c r="K133" i="108" s="1"/>
  <c r="L133" i="108" s="1"/>
  <c r="E132" i="108"/>
  <c r="I132" i="108" s="1"/>
  <c r="L132" i="108" s="1"/>
  <c r="E130" i="108"/>
  <c r="G130" i="108" s="1"/>
  <c r="L130" i="108" s="1"/>
  <c r="D129" i="108"/>
  <c r="E129" i="108" s="1"/>
  <c r="D128" i="108"/>
  <c r="E128" i="108" s="1"/>
  <c r="K128" i="108" s="1"/>
  <c r="L128" i="108" s="1"/>
  <c r="E127" i="108"/>
  <c r="I127" i="108" s="1"/>
  <c r="L127" i="108" s="1"/>
  <c r="G178" i="108"/>
  <c r="L178" i="108" s="1"/>
  <c r="E184" i="108"/>
  <c r="G184" i="108" s="1"/>
  <c r="L184" i="108" s="1"/>
  <c r="E74" i="138"/>
  <c r="E79" i="138"/>
  <c r="G129" i="108" l="1"/>
  <c r="L129" i="108" s="1"/>
  <c r="E176" i="108"/>
  <c r="K176" i="108" s="1"/>
  <c r="L176" i="108" s="1"/>
  <c r="E179" i="108"/>
  <c r="E183" i="108"/>
  <c r="G183" i="108" s="1"/>
  <c r="L183" i="108" s="1"/>
  <c r="E175" i="108"/>
  <c r="I175" i="108" s="1"/>
  <c r="L175" i="108" s="1"/>
  <c r="E182" i="108"/>
  <c r="G182" i="108" s="1"/>
  <c r="L182" i="108" s="1"/>
  <c r="E186" i="108"/>
  <c r="G186" i="108" s="1"/>
  <c r="L186" i="108" s="1"/>
  <c r="E181" i="108"/>
  <c r="G181" i="108" s="1"/>
  <c r="L181" i="108" s="1"/>
  <c r="E185" i="108"/>
  <c r="G185" i="108" s="1"/>
  <c r="L185" i="108" s="1"/>
  <c r="E177" i="108"/>
  <c r="G177" i="108" s="1"/>
  <c r="L177" i="108" s="1"/>
  <c r="E180" i="108"/>
  <c r="G180" i="108" s="1"/>
  <c r="L180" i="108" s="1"/>
  <c r="G179" i="108" l="1"/>
  <c r="L179" i="108" s="1"/>
  <c r="E191" i="108"/>
  <c r="G191" i="108" s="1"/>
  <c r="L191" i="108" s="1"/>
  <c r="G49" i="138" l="1"/>
  <c r="L49" i="138" s="1"/>
  <c r="G122" i="138"/>
  <c r="L122" i="138" s="1"/>
  <c r="E120" i="138"/>
  <c r="E121" i="138" s="1"/>
  <c r="I121" i="138" s="1"/>
  <c r="L121" i="138" s="1"/>
  <c r="E124" i="138"/>
  <c r="E129" i="138" s="1"/>
  <c r="G129" i="138" s="1"/>
  <c r="L129" i="138" s="1"/>
  <c r="D127" i="138"/>
  <c r="E101" i="138"/>
  <c r="E103" i="138" s="1"/>
  <c r="K103" i="138" s="1"/>
  <c r="L103" i="138" s="1"/>
  <c r="G98" i="138"/>
  <c r="L98" i="138" s="1"/>
  <c r="E97" i="138"/>
  <c r="G97" i="138" s="1"/>
  <c r="L97" i="138" s="1"/>
  <c r="E94" i="138"/>
  <c r="E99" i="138" s="1"/>
  <c r="G99" i="138" s="1"/>
  <c r="L99" i="138" s="1"/>
  <c r="E88" i="138"/>
  <c r="E92" i="138" s="1"/>
  <c r="G92" i="138" s="1"/>
  <c r="L92" i="138" s="1"/>
  <c r="D104" i="138"/>
  <c r="E102" i="138" l="1"/>
  <c r="I102" i="138" s="1"/>
  <c r="L102" i="138" s="1"/>
  <c r="G105" i="138"/>
  <c r="L105" i="138" s="1"/>
  <c r="E106" i="138"/>
  <c r="G106" i="138" s="1"/>
  <c r="L106" i="138" s="1"/>
  <c r="E104" i="138"/>
  <c r="G104" i="138" s="1"/>
  <c r="L104" i="138" s="1"/>
  <c r="E95" i="138"/>
  <c r="I95" i="138" s="1"/>
  <c r="L95" i="138" s="1"/>
  <c r="E126" i="138"/>
  <c r="K126" i="138" s="1"/>
  <c r="L126" i="138" s="1"/>
  <c r="E127" i="138"/>
  <c r="G127" i="138" s="1"/>
  <c r="L127" i="138" s="1"/>
  <c r="E125" i="138"/>
  <c r="I125" i="138" s="1"/>
  <c r="L125" i="138" s="1"/>
  <c r="E128" i="138"/>
  <c r="G128" i="138" s="1"/>
  <c r="L128" i="138" s="1"/>
  <c r="E100" i="138"/>
  <c r="G100" i="138" s="1"/>
  <c r="L100" i="138" s="1"/>
  <c r="E96" i="138"/>
  <c r="K96" i="138" s="1"/>
  <c r="L96" i="138" s="1"/>
  <c r="E90" i="138"/>
  <c r="K90" i="138" s="1"/>
  <c r="L90" i="138" s="1"/>
  <c r="I89" i="138"/>
  <c r="L89" i="138" s="1"/>
  <c r="E93" i="138"/>
  <c r="G93" i="138" s="1"/>
  <c r="L93" i="138" s="1"/>
  <c r="E12" i="138" l="1"/>
  <c r="K12" i="138" s="1"/>
  <c r="L12" i="138" s="1"/>
  <c r="E279" i="138"/>
  <c r="G279" i="138" s="1"/>
  <c r="L279" i="138" s="1"/>
  <c r="E278" i="138"/>
  <c r="G278" i="138" s="1"/>
  <c r="L278" i="138" s="1"/>
  <c r="E277" i="138"/>
  <c r="K277" i="138" s="1"/>
  <c r="L277" i="138" s="1"/>
  <c r="E276" i="138"/>
  <c r="I276" i="138" s="1"/>
  <c r="L276" i="138" s="1"/>
  <c r="E274" i="138"/>
  <c r="G274" i="138" s="1"/>
  <c r="L274" i="138" s="1"/>
  <c r="E273" i="138"/>
  <c r="G273" i="138" s="1"/>
  <c r="L273" i="138" s="1"/>
  <c r="D272" i="138"/>
  <c r="E272" i="138" s="1"/>
  <c r="G272" i="138" s="1"/>
  <c r="L272" i="138" s="1"/>
  <c r="E271" i="138"/>
  <c r="K271" i="138" s="1"/>
  <c r="L271" i="138" s="1"/>
  <c r="E270" i="138"/>
  <c r="I270" i="138" s="1"/>
  <c r="L270" i="138" s="1"/>
  <c r="E268" i="138"/>
  <c r="G268" i="138" s="1"/>
  <c r="L268" i="138" s="1"/>
  <c r="E267" i="138"/>
  <c r="G267" i="138" s="1"/>
  <c r="L267" i="138" s="1"/>
  <c r="E266" i="138"/>
  <c r="G266" i="138" s="1"/>
  <c r="L266" i="138" s="1"/>
  <c r="G265" i="138"/>
  <c r="L265" i="138" s="1"/>
  <c r="G264" i="138"/>
  <c r="L264" i="138" s="1"/>
  <c r="G263" i="138"/>
  <c r="L263" i="138" s="1"/>
  <c r="E262" i="138"/>
  <c r="K262" i="138" s="1"/>
  <c r="L262" i="138" s="1"/>
  <c r="E261" i="138"/>
  <c r="I261" i="138" s="1"/>
  <c r="L261" i="138" s="1"/>
  <c r="E259" i="138"/>
  <c r="G259" i="138" s="1"/>
  <c r="L259" i="138" s="1"/>
  <c r="E258" i="138"/>
  <c r="E257" i="138"/>
  <c r="K257" i="138" s="1"/>
  <c r="L257" i="138" s="1"/>
  <c r="E256" i="138"/>
  <c r="I256" i="138" s="1"/>
  <c r="L256" i="138" s="1"/>
  <c r="E254" i="138"/>
  <c r="G254" i="138" s="1"/>
  <c r="L254" i="138" s="1"/>
  <c r="E253" i="138"/>
  <c r="G253" i="138" s="1"/>
  <c r="L253" i="138" s="1"/>
  <c r="E252" i="138"/>
  <c r="G252" i="138" s="1"/>
  <c r="L252" i="138" s="1"/>
  <c r="E251" i="138"/>
  <c r="G251" i="138" s="1"/>
  <c r="L251" i="138" s="1"/>
  <c r="E250" i="138"/>
  <c r="G250" i="138" s="1"/>
  <c r="L250" i="138" s="1"/>
  <c r="E249" i="138"/>
  <c r="G249" i="138" s="1"/>
  <c r="L249" i="138" s="1"/>
  <c r="E248" i="138"/>
  <c r="K248" i="138" s="1"/>
  <c r="L248" i="138" s="1"/>
  <c r="E247" i="138"/>
  <c r="I247" i="138" s="1"/>
  <c r="L247" i="138" s="1"/>
  <c r="E245" i="138"/>
  <c r="G245" i="138" s="1"/>
  <c r="L245" i="138" s="1"/>
  <c r="E244" i="138"/>
  <c r="G244" i="138" s="1"/>
  <c r="L244" i="138" s="1"/>
  <c r="E243" i="138"/>
  <c r="K243" i="138" s="1"/>
  <c r="L243" i="138" s="1"/>
  <c r="E242" i="138"/>
  <c r="I242" i="138" s="1"/>
  <c r="L242" i="138" s="1"/>
  <c r="E240" i="138"/>
  <c r="G240" i="138" s="1"/>
  <c r="L240" i="138" s="1"/>
  <c r="E239" i="138"/>
  <c r="G239" i="138" s="1"/>
  <c r="L239" i="138" s="1"/>
  <c r="E238" i="138"/>
  <c r="I238" i="138" s="1"/>
  <c r="L238" i="138" s="1"/>
  <c r="E235" i="138"/>
  <c r="E236" i="138" s="1"/>
  <c r="I236" i="138" s="1"/>
  <c r="L236" i="138" s="1"/>
  <c r="E148" i="138"/>
  <c r="G148" i="138" s="1"/>
  <c r="L148" i="138" s="1"/>
  <c r="E147" i="138"/>
  <c r="K147" i="138" s="1"/>
  <c r="L147" i="138" s="1"/>
  <c r="E146" i="138"/>
  <c r="K146" i="138" s="1"/>
  <c r="L146" i="138" s="1"/>
  <c r="E144" i="138"/>
  <c r="K144" i="138" s="1"/>
  <c r="L144" i="138" s="1"/>
  <c r="E143" i="138"/>
  <c r="E149" i="138" s="1"/>
  <c r="G149" i="138" s="1"/>
  <c r="L149" i="138" s="1"/>
  <c r="E142" i="138"/>
  <c r="K142" i="138" s="1"/>
  <c r="L142" i="138" s="1"/>
  <c r="E141" i="138"/>
  <c r="I141" i="138" s="1"/>
  <c r="L141" i="138" s="1"/>
  <c r="E138" i="138"/>
  <c r="G138" i="138" s="1"/>
  <c r="L138" i="138" s="1"/>
  <c r="E137" i="138"/>
  <c r="K137" i="138" s="1"/>
  <c r="L137" i="138" s="1"/>
  <c r="E136" i="138"/>
  <c r="K136" i="138" s="1"/>
  <c r="L136" i="138" s="1"/>
  <c r="E134" i="138"/>
  <c r="K134" i="138" s="1"/>
  <c r="L134" i="138" s="1"/>
  <c r="E133" i="138"/>
  <c r="E139" i="138" s="1"/>
  <c r="G139" i="138" s="1"/>
  <c r="L139" i="138" s="1"/>
  <c r="E132" i="138"/>
  <c r="K132" i="138" s="1"/>
  <c r="L132" i="138" s="1"/>
  <c r="E131" i="138"/>
  <c r="E135" i="138" s="1"/>
  <c r="K135" i="138" s="1"/>
  <c r="L135" i="138" s="1"/>
  <c r="E216" i="138"/>
  <c r="G216" i="138" s="1"/>
  <c r="L216" i="138" s="1"/>
  <c r="E215" i="138"/>
  <c r="G215" i="138" s="1"/>
  <c r="L215" i="138" s="1"/>
  <c r="E214" i="138"/>
  <c r="G214" i="138" s="1"/>
  <c r="L214" i="138" s="1"/>
  <c r="E213" i="138"/>
  <c r="E212" i="138"/>
  <c r="G212" i="138" s="1"/>
  <c r="L212" i="138" s="1"/>
  <c r="E211" i="138"/>
  <c r="G211" i="138" s="1"/>
  <c r="L211" i="138" s="1"/>
  <c r="G210" i="138"/>
  <c r="L210" i="138" s="1"/>
  <c r="E209" i="138"/>
  <c r="G209" i="138" s="1"/>
  <c r="L209" i="138" s="1"/>
  <c r="E208" i="138"/>
  <c r="K208" i="138" s="1"/>
  <c r="L208" i="138" s="1"/>
  <c r="E207" i="138"/>
  <c r="I207" i="138" s="1"/>
  <c r="L207" i="138" s="1"/>
  <c r="E205" i="138"/>
  <c r="G205" i="138" s="1"/>
  <c r="L205" i="138" s="1"/>
  <c r="E204" i="138"/>
  <c r="E203" i="138"/>
  <c r="K203" i="138" s="1"/>
  <c r="L203" i="138" s="1"/>
  <c r="E202" i="138"/>
  <c r="K202" i="138" s="1"/>
  <c r="L202" i="138" s="1"/>
  <c r="E201" i="138"/>
  <c r="I201" i="138" s="1"/>
  <c r="L201" i="138" s="1"/>
  <c r="E199" i="138"/>
  <c r="G199" i="138" s="1"/>
  <c r="L199" i="138" s="1"/>
  <c r="E198" i="138"/>
  <c r="G198" i="138" s="1"/>
  <c r="L198" i="138" s="1"/>
  <c r="E197" i="138"/>
  <c r="G197" i="138" s="1"/>
  <c r="L197" i="138" s="1"/>
  <c r="G196" i="138"/>
  <c r="L196" i="138" s="1"/>
  <c r="E195" i="138"/>
  <c r="G195" i="138" s="1"/>
  <c r="L195" i="138" s="1"/>
  <c r="E194" i="138"/>
  <c r="K194" i="138" s="1"/>
  <c r="L194" i="138" s="1"/>
  <c r="E193" i="138"/>
  <c r="I193" i="138" s="1"/>
  <c r="L193" i="138" s="1"/>
  <c r="E191" i="138"/>
  <c r="G191" i="138" s="1"/>
  <c r="L191" i="138" s="1"/>
  <c r="E190" i="138"/>
  <c r="G190" i="138" s="1"/>
  <c r="L190" i="138" s="1"/>
  <c r="E189" i="138"/>
  <c r="G189" i="138" s="1"/>
  <c r="L189" i="138" s="1"/>
  <c r="G188" i="138"/>
  <c r="L188" i="138" s="1"/>
  <c r="E187" i="138"/>
  <c r="G187" i="138" s="1"/>
  <c r="L187" i="138" s="1"/>
  <c r="E186" i="138"/>
  <c r="K186" i="138" s="1"/>
  <c r="L186" i="138" s="1"/>
  <c r="E185" i="138"/>
  <c r="I185" i="138" s="1"/>
  <c r="L185" i="138" s="1"/>
  <c r="E183" i="138"/>
  <c r="G183" i="138" s="1"/>
  <c r="L183" i="138" s="1"/>
  <c r="E182" i="138"/>
  <c r="E181" i="138"/>
  <c r="K181" i="138" s="1"/>
  <c r="L181" i="138" s="1"/>
  <c r="E180" i="138"/>
  <c r="I180" i="138" s="1"/>
  <c r="L180" i="138" s="1"/>
  <c r="E178" i="138"/>
  <c r="G178" i="138" s="1"/>
  <c r="L178" i="138" s="1"/>
  <c r="E177" i="138"/>
  <c r="E176" i="138"/>
  <c r="K176" i="138" s="1"/>
  <c r="L176" i="138" s="1"/>
  <c r="E175" i="138"/>
  <c r="I175" i="138" s="1"/>
  <c r="L175" i="138" s="1"/>
  <c r="E173" i="138"/>
  <c r="G173" i="138" s="1"/>
  <c r="L173" i="138" s="1"/>
  <c r="E172" i="138"/>
  <c r="G172" i="138" s="1"/>
  <c r="L172" i="138" s="1"/>
  <c r="E171" i="138"/>
  <c r="G171" i="138" s="1"/>
  <c r="L171" i="138" s="1"/>
  <c r="E170" i="138"/>
  <c r="G170" i="138" s="1"/>
  <c r="L170" i="138" s="1"/>
  <c r="E169" i="138"/>
  <c r="G169" i="138" s="1"/>
  <c r="L169" i="138" s="1"/>
  <c r="E168" i="138"/>
  <c r="G168" i="138" s="1"/>
  <c r="L168" i="138" s="1"/>
  <c r="E167" i="138"/>
  <c r="G167" i="138" s="1"/>
  <c r="L167" i="138" s="1"/>
  <c r="G166" i="138"/>
  <c r="L166" i="138" s="1"/>
  <c r="E165" i="138"/>
  <c r="G165" i="138" s="1"/>
  <c r="L165" i="138" s="1"/>
  <c r="E164" i="138"/>
  <c r="K164" i="138" s="1"/>
  <c r="L164" i="138" s="1"/>
  <c r="E163" i="138"/>
  <c r="I163" i="138" s="1"/>
  <c r="L163" i="138" s="1"/>
  <c r="E157" i="138"/>
  <c r="E160" i="138" s="1"/>
  <c r="G160" i="138" s="1"/>
  <c r="L160" i="138" s="1"/>
  <c r="E153" i="138"/>
  <c r="E154" i="138" s="1"/>
  <c r="I154" i="138" s="1"/>
  <c r="L154" i="138" s="1"/>
  <c r="E151" i="138"/>
  <c r="E152" i="138" s="1"/>
  <c r="I152" i="138" s="1"/>
  <c r="L152" i="138" s="1"/>
  <c r="E118" i="138"/>
  <c r="G118" i="138" s="1"/>
  <c r="L118" i="138" s="1"/>
  <c r="E117" i="138"/>
  <c r="G117" i="138" s="1"/>
  <c r="L117" i="138" s="1"/>
  <c r="E116" i="138"/>
  <c r="G116" i="138" s="1"/>
  <c r="L116" i="138" s="1"/>
  <c r="E115" i="138"/>
  <c r="G115" i="138" s="1"/>
  <c r="L115" i="138" s="1"/>
  <c r="E114" i="138"/>
  <c r="K114" i="138" s="1"/>
  <c r="L114" i="138" s="1"/>
  <c r="E113" i="138"/>
  <c r="I113" i="138" s="1"/>
  <c r="L113" i="138" s="1"/>
  <c r="E111" i="138"/>
  <c r="G111" i="138" s="1"/>
  <c r="L111" i="138" s="1"/>
  <c r="D110" i="138"/>
  <c r="E110" i="138" s="1"/>
  <c r="G110" i="138" s="1"/>
  <c r="L110" i="138" s="1"/>
  <c r="D109" i="138"/>
  <c r="E109" i="138" s="1"/>
  <c r="K109" i="138" s="1"/>
  <c r="L109" i="138" s="1"/>
  <c r="E108" i="138"/>
  <c r="I108" i="138" s="1"/>
  <c r="L108" i="138" s="1"/>
  <c r="E87" i="138"/>
  <c r="G87" i="138" s="1"/>
  <c r="L87" i="138" s="1"/>
  <c r="E86" i="138"/>
  <c r="G86" i="138" s="1"/>
  <c r="L86" i="138" s="1"/>
  <c r="E85" i="138"/>
  <c r="G85" i="138" s="1"/>
  <c r="L85" i="138" s="1"/>
  <c r="G84" i="138"/>
  <c r="L84" i="138" s="1"/>
  <c r="E91" i="138"/>
  <c r="G91" i="138" s="1"/>
  <c r="L91" i="138" s="1"/>
  <c r="G83" i="138"/>
  <c r="L83" i="138" s="1"/>
  <c r="E82" i="138"/>
  <c r="G82" i="138" s="1"/>
  <c r="L82" i="138" s="1"/>
  <c r="E81" i="138"/>
  <c r="K81" i="138" s="1"/>
  <c r="L81" i="138" s="1"/>
  <c r="E80" i="138"/>
  <c r="I80" i="138" s="1"/>
  <c r="L80" i="138" s="1"/>
  <c r="E78" i="138"/>
  <c r="G78" i="138" s="1"/>
  <c r="L78" i="138" s="1"/>
  <c r="E77" i="138"/>
  <c r="G77" i="138" s="1"/>
  <c r="L77" i="138" s="1"/>
  <c r="E76" i="138"/>
  <c r="K76" i="138" s="1"/>
  <c r="L76" i="138" s="1"/>
  <c r="E75" i="138"/>
  <c r="I75" i="138" s="1"/>
  <c r="L75" i="138" s="1"/>
  <c r="E73" i="138"/>
  <c r="G73" i="138" s="1"/>
  <c r="L73" i="138" s="1"/>
  <c r="G72" i="138"/>
  <c r="L72" i="138" s="1"/>
  <c r="E71" i="138"/>
  <c r="K71" i="138" s="1"/>
  <c r="L71" i="138" s="1"/>
  <c r="E70" i="138"/>
  <c r="K70" i="138" s="1"/>
  <c r="L70" i="138" s="1"/>
  <c r="E69" i="138"/>
  <c r="I69" i="138" s="1"/>
  <c r="L69" i="138" s="1"/>
  <c r="G60" i="138"/>
  <c r="L60" i="138" s="1"/>
  <c r="G58" i="138"/>
  <c r="L58" i="138" s="1"/>
  <c r="E57" i="138"/>
  <c r="K57" i="138" s="1"/>
  <c r="L57" i="138" s="1"/>
  <c r="E56" i="138"/>
  <c r="I56" i="138" s="1"/>
  <c r="L56" i="138" s="1"/>
  <c r="E52" i="138"/>
  <c r="G52" i="138" s="1"/>
  <c r="L52" i="138" s="1"/>
  <c r="E51" i="138"/>
  <c r="G51" i="138" s="1"/>
  <c r="L51" i="138" s="1"/>
  <c r="E50" i="138"/>
  <c r="G50" i="138" s="1"/>
  <c r="L50" i="138" s="1"/>
  <c r="E47" i="138"/>
  <c r="K47" i="138" s="1"/>
  <c r="L47" i="138" s="1"/>
  <c r="E46" i="138"/>
  <c r="K46" i="138" s="1"/>
  <c r="L46" i="138" s="1"/>
  <c r="E45" i="138"/>
  <c r="E48" i="138" s="1"/>
  <c r="G48" i="138" s="1"/>
  <c r="L48" i="138" s="1"/>
  <c r="E25" i="138"/>
  <c r="K25" i="138" s="1"/>
  <c r="L25" i="138" s="1"/>
  <c r="E24" i="138"/>
  <c r="K24" i="138" s="1"/>
  <c r="L24" i="138" s="1"/>
  <c r="E23" i="138"/>
  <c r="I23" i="138" s="1"/>
  <c r="L23" i="138" s="1"/>
  <c r="E21" i="138"/>
  <c r="K21" i="138" s="1"/>
  <c r="L21" i="138" s="1"/>
  <c r="E20" i="138"/>
  <c r="I20" i="138" s="1"/>
  <c r="L20" i="138" s="1"/>
  <c r="D15" i="138"/>
  <c r="E15" i="138" s="1"/>
  <c r="K15" i="138" s="1"/>
  <c r="L15" i="138" s="1"/>
  <c r="D14" i="138"/>
  <c r="E14" i="138" s="1"/>
  <c r="I14" i="138" s="1"/>
  <c r="L14" i="138" s="1"/>
  <c r="E11" i="138"/>
  <c r="I11" i="138" s="1"/>
  <c r="L11" i="138" s="1"/>
  <c r="G258" i="138" l="1"/>
  <c r="L258" i="138" s="1"/>
  <c r="K143" i="138"/>
  <c r="L143" i="138" s="1"/>
  <c r="G182" i="138"/>
  <c r="L182" i="138" s="1"/>
  <c r="I131" i="138"/>
  <c r="L131" i="138" s="1"/>
  <c r="I45" i="138"/>
  <c r="L45" i="138" s="1"/>
  <c r="G213" i="138"/>
  <c r="L213" i="138" s="1"/>
  <c r="K133" i="138"/>
  <c r="L133" i="138" s="1"/>
  <c r="E159" i="138"/>
  <c r="K159" i="138" s="1"/>
  <c r="L159" i="138" s="1"/>
  <c r="G204" i="138"/>
  <c r="L204" i="138" s="1"/>
  <c r="E156" i="138"/>
  <c r="G156" i="138" s="1"/>
  <c r="L156" i="138" s="1"/>
  <c r="E155" i="138"/>
  <c r="G155" i="138" s="1"/>
  <c r="L155" i="138" s="1"/>
  <c r="E145" i="138"/>
  <c r="K145" i="138" s="1"/>
  <c r="L145" i="138" s="1"/>
  <c r="G177" i="138"/>
  <c r="L177" i="138" s="1"/>
  <c r="E161" i="138"/>
  <c r="G161" i="138" s="1"/>
  <c r="L161" i="138" s="1"/>
  <c r="E158" i="138"/>
  <c r="I158" i="138" s="1"/>
  <c r="L158" i="138" s="1"/>
  <c r="L280" i="138" l="1"/>
  <c r="K280" i="138"/>
  <c r="G280" i="138"/>
  <c r="L281" i="138" s="1"/>
  <c r="I280" i="138"/>
  <c r="L282" i="138" l="1"/>
  <c r="L283" i="138" s="1"/>
  <c r="L284" i="138" s="1"/>
  <c r="L285" i="138" s="1"/>
  <c r="L286" i="138" s="1"/>
  <c r="D16" i="130" l="1"/>
  <c r="E14" i="129"/>
  <c r="E15" i="129" s="1"/>
  <c r="I15" i="129" s="1"/>
  <c r="L15" i="129" s="1"/>
  <c r="G60" i="129"/>
  <c r="L60" i="129" s="1"/>
  <c r="G59" i="129"/>
  <c r="L59" i="129" s="1"/>
  <c r="G58" i="129"/>
  <c r="L58" i="129" s="1"/>
  <c r="E57" i="129"/>
  <c r="E61" i="129"/>
  <c r="G61" i="129" s="1"/>
  <c r="L61" i="129" s="1"/>
  <c r="E56" i="129"/>
  <c r="K56" i="129" s="1"/>
  <c r="L56" i="129" s="1"/>
  <c r="E55" i="129"/>
  <c r="I55" i="129" s="1"/>
  <c r="L55" i="129" s="1"/>
  <c r="E44" i="129"/>
  <c r="G44" i="129" s="1"/>
  <c r="L44" i="129" s="1"/>
  <c r="E43" i="129"/>
  <c r="G43" i="129" s="1"/>
  <c r="L43" i="129" s="1"/>
  <c r="D42" i="129"/>
  <c r="E42" i="129" s="1"/>
  <c r="G42" i="129" s="1"/>
  <c r="L42" i="129" s="1"/>
  <c r="E41" i="129"/>
  <c r="K41" i="129" s="1"/>
  <c r="L41" i="129" s="1"/>
  <c r="G35" i="129"/>
  <c r="L35" i="129" s="1"/>
  <c r="G34" i="129"/>
  <c r="L34" i="129" s="1"/>
  <c r="E33" i="129"/>
  <c r="G33" i="129" s="1"/>
  <c r="L33" i="129" s="1"/>
  <c r="G32" i="129"/>
  <c r="L32" i="129" s="1"/>
  <c r="E31" i="129"/>
  <c r="G31" i="129" s="1"/>
  <c r="L31" i="129" s="1"/>
  <c r="E30" i="129"/>
  <c r="K30" i="129" s="1"/>
  <c r="L30" i="129" s="1"/>
  <c r="E29" i="129"/>
  <c r="E38" i="129" s="1"/>
  <c r="G38" i="129" s="1"/>
  <c r="L38" i="129" s="1"/>
  <c r="E19" i="129"/>
  <c r="G19" i="129" s="1"/>
  <c r="E18" i="129"/>
  <c r="I18" i="129" s="1"/>
  <c r="L18" i="129" s="1"/>
  <c r="H16" i="130" l="1"/>
  <c r="I29" i="129"/>
  <c r="L29" i="129" s="1"/>
  <c r="G57" i="129"/>
  <c r="L57" i="129" s="1"/>
  <c r="L19" i="129"/>
  <c r="K12" i="129"/>
  <c r="E11" i="129"/>
  <c r="I11" i="129" s="1"/>
  <c r="G63" i="129" l="1"/>
  <c r="L64" i="129" s="1"/>
  <c r="I63" i="129"/>
  <c r="L11" i="129"/>
  <c r="L12" i="129"/>
  <c r="K63" i="129"/>
  <c r="L63" i="129" l="1"/>
  <c r="L65" i="129" s="1"/>
  <c r="L66" i="129" s="1"/>
  <c r="L67" i="129" s="1"/>
  <c r="L68" i="129" l="1"/>
  <c r="L69" i="129" s="1"/>
  <c r="D13" i="130" s="1"/>
  <c r="H13" i="130" l="1"/>
  <c r="E203" i="108" l="1"/>
  <c r="G203" i="108" s="1"/>
  <c r="L203" i="108" s="1"/>
  <c r="E49" i="108"/>
  <c r="I49" i="108" s="1"/>
  <c r="L49" i="108" s="1"/>
  <c r="E47" i="108"/>
  <c r="I47" i="108" s="1"/>
  <c r="L47" i="108" s="1"/>
  <c r="E42" i="108"/>
  <c r="K42" i="108" s="1"/>
  <c r="L42" i="108" s="1"/>
  <c r="E41" i="108"/>
  <c r="I41" i="108" s="1"/>
  <c r="L41" i="108" s="1"/>
  <c r="E39" i="108"/>
  <c r="K39" i="108" s="1"/>
  <c r="L39" i="108" s="1"/>
  <c r="E38" i="108"/>
  <c r="I38" i="108" s="1"/>
  <c r="L38" i="108" s="1"/>
  <c r="E34" i="108"/>
  <c r="K34" i="108" s="1"/>
  <c r="L34" i="108" s="1"/>
  <c r="E33" i="108"/>
  <c r="I33" i="108" s="1"/>
  <c r="L33" i="108" s="1"/>
  <c r="E31" i="108"/>
  <c r="K31" i="108" s="1"/>
  <c r="L31" i="108" s="1"/>
  <c r="E30" i="108"/>
  <c r="K30" i="108" s="1"/>
  <c r="L30" i="108" s="1"/>
  <c r="E29" i="108"/>
  <c r="I29" i="108" s="1"/>
  <c r="L29" i="108" s="1"/>
  <c r="E27" i="108"/>
  <c r="K27" i="108" s="1"/>
  <c r="L27" i="108" s="1"/>
  <c r="E26" i="108"/>
  <c r="I26" i="108" s="1"/>
  <c r="L26" i="108" s="1"/>
  <c r="E24" i="108"/>
  <c r="K24" i="108" s="1"/>
  <c r="L24" i="108" s="1"/>
  <c r="E23" i="108"/>
  <c r="K23" i="108" s="1"/>
  <c r="L23" i="108" s="1"/>
  <c r="E22" i="108"/>
  <c r="I22" i="108" s="1"/>
  <c r="L22" i="108" s="1"/>
  <c r="E20" i="108"/>
  <c r="K20" i="108" s="1"/>
  <c r="L20" i="108" s="1"/>
  <c r="E19" i="108"/>
  <c r="I19" i="108" s="1"/>
  <c r="L19" i="108" s="1"/>
  <c r="D14" i="108"/>
  <c r="D12" i="108"/>
  <c r="D10" i="108"/>
  <c r="E88" i="108" l="1"/>
  <c r="E95" i="108" s="1"/>
  <c r="G95" i="108" s="1"/>
  <c r="L95" i="108" s="1"/>
  <c r="E84" i="108"/>
  <c r="G84" i="108" s="1"/>
  <c r="L84" i="108" s="1"/>
  <c r="E85" i="108"/>
  <c r="G85" i="108" s="1"/>
  <c r="L85" i="108" s="1"/>
  <c r="E115" i="108"/>
  <c r="G115" i="108" s="1"/>
  <c r="L115" i="108" s="1"/>
  <c r="E144" i="108"/>
  <c r="E148" i="108" s="1"/>
  <c r="G148" i="108" s="1"/>
  <c r="L148" i="108" s="1"/>
  <c r="E199" i="108"/>
  <c r="G199" i="108" s="1"/>
  <c r="L199" i="108" s="1"/>
  <c r="E198" i="108"/>
  <c r="G198" i="108" s="1"/>
  <c r="L198" i="108" s="1"/>
  <c r="E197" i="108"/>
  <c r="G197" i="108" s="1"/>
  <c r="L197" i="108" s="1"/>
  <c r="E195" i="108"/>
  <c r="K195" i="108" s="1"/>
  <c r="L195" i="108" s="1"/>
  <c r="E194" i="108"/>
  <c r="K194" i="108" s="1"/>
  <c r="L194" i="108" s="1"/>
  <c r="E193" i="108"/>
  <c r="G260" i="108"/>
  <c r="L260" i="108" s="1"/>
  <c r="I193" i="108" l="1"/>
  <c r="L193" i="108" s="1"/>
  <c r="E196" i="108"/>
  <c r="G196" i="108" s="1"/>
  <c r="L196" i="108" s="1"/>
  <c r="E89" i="108"/>
  <c r="I89" i="108" s="1"/>
  <c r="L89" i="108" s="1"/>
  <c r="E94" i="108"/>
  <c r="G94" i="108" s="1"/>
  <c r="L94" i="108" s="1"/>
  <c r="E90" i="108"/>
  <c r="K90" i="108" s="1"/>
  <c r="L90" i="108" s="1"/>
  <c r="E93" i="108"/>
  <c r="G93" i="108" s="1"/>
  <c r="L93" i="108" s="1"/>
  <c r="E91" i="108"/>
  <c r="G91" i="108" s="1"/>
  <c r="L91" i="108" s="1"/>
  <c r="E92" i="108"/>
  <c r="G92" i="108" s="1"/>
  <c r="L92" i="108" s="1"/>
  <c r="E83" i="108"/>
  <c r="G83" i="108" s="1"/>
  <c r="L83" i="108" s="1"/>
  <c r="E87" i="108"/>
  <c r="G87" i="108" s="1"/>
  <c r="L87" i="108" s="1"/>
  <c r="E82" i="108"/>
  <c r="K82" i="108" s="1"/>
  <c r="L82" i="108" s="1"/>
  <c r="E86" i="108"/>
  <c r="G86" i="108" s="1"/>
  <c r="L86" i="108" s="1"/>
  <c r="E81" i="108"/>
  <c r="I81" i="108" s="1"/>
  <c r="L81" i="108" s="1"/>
  <c r="E146" i="108"/>
  <c r="K146" i="108" s="1"/>
  <c r="L146" i="108" s="1"/>
  <c r="E145" i="108"/>
  <c r="I145" i="108" s="1"/>
  <c r="E259" i="108"/>
  <c r="K259" i="108" s="1"/>
  <c r="L259" i="108" s="1"/>
  <c r="E261" i="108"/>
  <c r="G261" i="108" s="1"/>
  <c r="L261" i="108" s="1"/>
  <c r="E258" i="108"/>
  <c r="I258" i="108" s="1"/>
  <c r="L258" i="108" s="1"/>
  <c r="L145" i="108" l="1"/>
  <c r="G147" i="108"/>
  <c r="L147" i="108" s="1"/>
  <c r="E221" i="108"/>
  <c r="E319" i="108"/>
  <c r="G319" i="108" s="1"/>
  <c r="L319" i="108" s="1"/>
  <c r="E318" i="108"/>
  <c r="G318" i="108" s="1"/>
  <c r="L318" i="108" s="1"/>
  <c r="E317" i="108"/>
  <c r="G317" i="108" s="1"/>
  <c r="L317" i="108" s="1"/>
  <c r="E315" i="108"/>
  <c r="K315" i="108" s="1"/>
  <c r="L315" i="108" s="1"/>
  <c r="E314" i="108"/>
  <c r="I314" i="108" s="1"/>
  <c r="L314" i="108" s="1"/>
  <c r="E312" i="108"/>
  <c r="G312" i="108" s="1"/>
  <c r="L312" i="108" s="1"/>
  <c r="D311" i="108"/>
  <c r="G311" i="108" s="1"/>
  <c r="L311" i="108" s="1"/>
  <c r="D310" i="108"/>
  <c r="E310" i="108" s="1"/>
  <c r="K310" i="108" s="1"/>
  <c r="L310" i="108" s="1"/>
  <c r="E309" i="108"/>
  <c r="I309" i="108" s="1"/>
  <c r="L309" i="108" s="1"/>
  <c r="E289" i="108"/>
  <c r="G289" i="108" s="1"/>
  <c r="L289" i="108" s="1"/>
  <c r="G288" i="108"/>
  <c r="L288" i="108" s="1"/>
  <c r="E287" i="108"/>
  <c r="K287" i="108" s="1"/>
  <c r="L287" i="108" s="1"/>
  <c r="E286" i="108"/>
  <c r="I286" i="108" s="1"/>
  <c r="L286" i="108" s="1"/>
  <c r="G284" i="108"/>
  <c r="L284" i="108" s="1"/>
  <c r="G283" i="108"/>
  <c r="L283" i="108" s="1"/>
  <c r="E282" i="108"/>
  <c r="K282" i="108" s="1"/>
  <c r="L282" i="108" s="1"/>
  <c r="E281" i="108"/>
  <c r="I281" i="108" s="1"/>
  <c r="L281" i="108" s="1"/>
  <c r="D277" i="108" l="1"/>
  <c r="E277" i="108" s="1"/>
  <c r="G277" i="108" s="1"/>
  <c r="L277" i="108" s="1"/>
  <c r="E278" i="108"/>
  <c r="G278" i="108" s="1"/>
  <c r="L278" i="108" s="1"/>
  <c r="E275" i="108" l="1"/>
  <c r="I275" i="108" s="1"/>
  <c r="L275" i="108" s="1"/>
  <c r="E276" i="108"/>
  <c r="K276" i="108" s="1"/>
  <c r="L276" i="108" s="1"/>
  <c r="G279" i="108"/>
  <c r="L279" i="108" s="1"/>
  <c r="G270" i="108"/>
  <c r="L270" i="108" s="1"/>
  <c r="G269" i="108"/>
  <c r="G268" i="108"/>
  <c r="L268" i="108" s="1"/>
  <c r="G267" i="108"/>
  <c r="L267" i="108" s="1"/>
  <c r="G266" i="108"/>
  <c r="L266" i="108" s="1"/>
  <c r="E273" i="108"/>
  <c r="G273" i="108" s="1"/>
  <c r="L273" i="108" s="1"/>
  <c r="E272" i="108"/>
  <c r="G272" i="108" s="1"/>
  <c r="L272" i="108" s="1"/>
  <c r="E271" i="108"/>
  <c r="G271" i="108" s="1"/>
  <c r="L271" i="108" s="1"/>
  <c r="E265" i="108"/>
  <c r="K265" i="108" s="1"/>
  <c r="L265" i="108" s="1"/>
  <c r="E264" i="108"/>
  <c r="K264" i="108" s="1"/>
  <c r="L264" i="108" s="1"/>
  <c r="E263" i="108"/>
  <c r="I263" i="108" s="1"/>
  <c r="L263" i="108" s="1"/>
  <c r="G255" i="108"/>
  <c r="L255" i="108" s="1"/>
  <c r="E256" i="108"/>
  <c r="G256" i="108" s="1"/>
  <c r="L256" i="108" s="1"/>
  <c r="D254" i="108"/>
  <c r="E254" i="108" s="1"/>
  <c r="G254" i="108" s="1"/>
  <c r="L254" i="108" s="1"/>
  <c r="D253" i="108"/>
  <c r="E253" i="108" s="1"/>
  <c r="K253" i="108" s="1"/>
  <c r="L253" i="108" s="1"/>
  <c r="E252" i="108"/>
  <c r="I252" i="108" s="1"/>
  <c r="L252" i="108" s="1"/>
  <c r="E246" i="108"/>
  <c r="E247" i="108" s="1"/>
  <c r="I247" i="108" s="1"/>
  <c r="L247" i="108" s="1"/>
  <c r="E245" i="108"/>
  <c r="G245" i="108" s="1"/>
  <c r="L245" i="108" s="1"/>
  <c r="E244" i="108"/>
  <c r="E243" i="108"/>
  <c r="K243" i="108" s="1"/>
  <c r="L243" i="108" s="1"/>
  <c r="E242" i="108"/>
  <c r="I242" i="108" s="1"/>
  <c r="L242" i="108" s="1"/>
  <c r="L269" i="108" l="1"/>
  <c r="E249" i="108"/>
  <c r="G249" i="108" s="1"/>
  <c r="E248" i="108"/>
  <c r="K248" i="108" s="1"/>
  <c r="L248" i="108" s="1"/>
  <c r="G244" i="108"/>
  <c r="L244" i="108" s="1"/>
  <c r="L249" i="108" l="1"/>
  <c r="E236" i="108" l="1"/>
  <c r="E237" i="108"/>
  <c r="G237" i="108" s="1"/>
  <c r="L237" i="108" s="1"/>
  <c r="E240" i="108"/>
  <c r="G240" i="108" s="1"/>
  <c r="L240" i="108" s="1"/>
  <c r="E239" i="108"/>
  <c r="G239" i="108" s="1"/>
  <c r="L239" i="108" s="1"/>
  <c r="E238" i="108"/>
  <c r="G238" i="108" s="1"/>
  <c r="L238" i="108" s="1"/>
  <c r="E235" i="108"/>
  <c r="G235" i="108" s="1"/>
  <c r="L235" i="108" s="1"/>
  <c r="E234" i="108"/>
  <c r="K234" i="108" s="1"/>
  <c r="L234" i="108" s="1"/>
  <c r="E233" i="108"/>
  <c r="I233" i="108" s="1"/>
  <c r="L233" i="108" s="1"/>
  <c r="E224" i="108"/>
  <c r="I224" i="108" s="1"/>
  <c r="L224" i="108" s="1"/>
  <c r="E231" i="108"/>
  <c r="G231" i="108" s="1"/>
  <c r="L231" i="108" s="1"/>
  <c r="E230" i="108"/>
  <c r="G230" i="108" s="1"/>
  <c r="L230" i="108" s="1"/>
  <c r="E229" i="108"/>
  <c r="K229" i="108" s="1"/>
  <c r="L229" i="108" s="1"/>
  <c r="E228" i="108"/>
  <c r="I228" i="108" s="1"/>
  <c r="L228" i="108" s="1"/>
  <c r="E222" i="108"/>
  <c r="I222" i="108" s="1"/>
  <c r="L222" i="108" s="1"/>
  <c r="G236" i="108" l="1"/>
  <c r="L236" i="108" s="1"/>
  <c r="E250" i="108"/>
  <c r="E226" i="108"/>
  <c r="G226" i="108" s="1"/>
  <c r="L226" i="108" s="1"/>
  <c r="E225" i="108"/>
  <c r="G225" i="108" s="1"/>
  <c r="L225" i="108" s="1"/>
  <c r="G250" i="108" l="1"/>
  <c r="L250" i="108" l="1"/>
  <c r="E202" i="108" l="1"/>
  <c r="K202" i="108" s="1"/>
  <c r="L202" i="108" s="1"/>
  <c r="E201" i="108"/>
  <c r="I201" i="108" s="1"/>
  <c r="L201" i="108" s="1"/>
  <c r="E42" i="125" l="1"/>
  <c r="G42" i="125" s="1"/>
  <c r="L42" i="125" s="1"/>
  <c r="G37" i="125"/>
  <c r="L37" i="125" s="1"/>
  <c r="E28" i="125"/>
  <c r="E30" i="125" s="1"/>
  <c r="K30" i="125" s="1"/>
  <c r="L30" i="125" s="1"/>
  <c r="E16" i="125"/>
  <c r="E13" i="125"/>
  <c r="G13" i="125" s="1"/>
  <c r="L13" i="125" s="1"/>
  <c r="E49" i="125"/>
  <c r="G49" i="125" s="1"/>
  <c r="L49" i="125" s="1"/>
  <c r="G48" i="125"/>
  <c r="L48" i="125" s="1"/>
  <c r="E47" i="125"/>
  <c r="G47" i="125" s="1"/>
  <c r="L47" i="125" s="1"/>
  <c r="E46" i="125"/>
  <c r="K46" i="125" s="1"/>
  <c r="L46" i="125" s="1"/>
  <c r="E45" i="125"/>
  <c r="I45" i="125" s="1"/>
  <c r="L45" i="125" s="1"/>
  <c r="E43" i="125"/>
  <c r="G43" i="125" s="1"/>
  <c r="L43" i="125" s="1"/>
  <c r="E41" i="125"/>
  <c r="K41" i="125" s="1"/>
  <c r="L41" i="125" s="1"/>
  <c r="E40" i="125"/>
  <c r="I40" i="125" s="1"/>
  <c r="L40" i="125" s="1"/>
  <c r="E38" i="125"/>
  <c r="G38" i="125" s="1"/>
  <c r="L38" i="125" s="1"/>
  <c r="E36" i="125"/>
  <c r="K36" i="125" s="1"/>
  <c r="L36" i="125" s="1"/>
  <c r="E35" i="125"/>
  <c r="I35" i="125" s="1"/>
  <c r="L35" i="125" s="1"/>
  <c r="D29" i="125"/>
  <c r="E27" i="125"/>
  <c r="G27" i="125" s="1"/>
  <c r="L27" i="125" s="1"/>
  <c r="G26" i="125"/>
  <c r="L26" i="125" s="1"/>
  <c r="E25" i="125"/>
  <c r="K25" i="125" s="1"/>
  <c r="L25" i="125" s="1"/>
  <c r="E24" i="125"/>
  <c r="I24" i="125" s="1"/>
  <c r="L24" i="125" s="1"/>
  <c r="G22" i="125"/>
  <c r="L22" i="125" s="1"/>
  <c r="E20" i="125"/>
  <c r="K20" i="125" s="1"/>
  <c r="L20" i="125" s="1"/>
  <c r="E19" i="125"/>
  <c r="I19" i="125" s="1"/>
  <c r="L19" i="125" s="1"/>
  <c r="E17" i="125"/>
  <c r="G17" i="125" s="1"/>
  <c r="L17" i="125" s="1"/>
  <c r="G15" i="125"/>
  <c r="L15" i="125" s="1"/>
  <c r="G14" i="125"/>
  <c r="L14" i="125" s="1"/>
  <c r="E12" i="125"/>
  <c r="K12" i="125" s="1"/>
  <c r="E11" i="125"/>
  <c r="I11" i="125" s="1"/>
  <c r="K51" i="125" l="1"/>
  <c r="G16" i="125"/>
  <c r="L16" i="125" s="1"/>
  <c r="L11" i="125"/>
  <c r="E29" i="125"/>
  <c r="I29" i="125" s="1"/>
  <c r="L29" i="125" s="1"/>
  <c r="L12" i="125"/>
  <c r="E33" i="125"/>
  <c r="G33" i="125" s="1"/>
  <c r="L33" i="125" s="1"/>
  <c r="E31" i="125"/>
  <c r="G31" i="125" s="1"/>
  <c r="L31" i="125" s="1"/>
  <c r="E32" i="125"/>
  <c r="G32" i="125" s="1"/>
  <c r="L32" i="125" s="1"/>
  <c r="F17" i="130" l="1"/>
  <c r="L51" i="125"/>
  <c r="I51" i="125"/>
  <c r="G51" i="125"/>
  <c r="L52" i="125" s="1"/>
  <c r="L53" i="125" l="1"/>
  <c r="L54" i="125" l="1"/>
  <c r="L55" i="125" s="1"/>
  <c r="L56" i="125" s="1"/>
  <c r="G54" i="119"/>
  <c r="L54" i="119" s="1"/>
  <c r="G53" i="119"/>
  <c r="L53" i="119" s="1"/>
  <c r="G52" i="119"/>
  <c r="L52" i="119" s="1"/>
  <c r="G51" i="119"/>
  <c r="L51" i="119" s="1"/>
  <c r="E50" i="119"/>
  <c r="E49" i="119"/>
  <c r="K49" i="119" s="1"/>
  <c r="L49" i="119" s="1"/>
  <c r="E48" i="119"/>
  <c r="I48" i="119" s="1"/>
  <c r="L48" i="119" s="1"/>
  <c r="L57" i="125" l="1"/>
  <c r="D15" i="130" s="1"/>
  <c r="H15" i="130" s="1"/>
  <c r="G50" i="119"/>
  <c r="L50" i="119" s="1"/>
  <c r="E522" i="119" l="1"/>
  <c r="E39" i="119"/>
  <c r="G39" i="119" s="1"/>
  <c r="L39" i="119" s="1"/>
  <c r="G38" i="119"/>
  <c r="L38" i="119" s="1"/>
  <c r="E36" i="119"/>
  <c r="K36" i="119" s="1"/>
  <c r="L36" i="119" s="1"/>
  <c r="E35" i="119"/>
  <c r="I35" i="119" s="1"/>
  <c r="L35" i="119" s="1"/>
  <c r="E27" i="119"/>
  <c r="G27" i="119" s="1"/>
  <c r="L27" i="119" s="1"/>
  <c r="G26" i="119"/>
  <c r="L26" i="119" s="1"/>
  <c r="G25" i="119"/>
  <c r="L25" i="119" s="1"/>
  <c r="G24" i="119"/>
  <c r="L24" i="119" s="1"/>
  <c r="G23" i="119"/>
  <c r="L23" i="119" s="1"/>
  <c r="G22" i="119"/>
  <c r="L22" i="119" s="1"/>
  <c r="E21" i="119"/>
  <c r="G21" i="119" s="1"/>
  <c r="L21" i="119" s="1"/>
  <c r="E20" i="119"/>
  <c r="K20" i="119" s="1"/>
  <c r="L20" i="119" s="1"/>
  <c r="E19" i="119"/>
  <c r="I19" i="119" s="1"/>
  <c r="L19" i="119" s="1"/>
  <c r="E17" i="119"/>
  <c r="G17" i="119" s="1"/>
  <c r="L17" i="119" s="1"/>
  <c r="G16" i="119"/>
  <c r="L16" i="119" s="1"/>
  <c r="G15" i="119"/>
  <c r="L15" i="119" s="1"/>
  <c r="G14" i="119"/>
  <c r="L14" i="119" s="1"/>
  <c r="G13" i="119"/>
  <c r="L13" i="119" s="1"/>
  <c r="E12" i="119"/>
  <c r="G12" i="119" s="1"/>
  <c r="E11" i="119"/>
  <c r="K11" i="119" s="1"/>
  <c r="E10" i="119"/>
  <c r="I10" i="119" s="1"/>
  <c r="E40" i="114"/>
  <c r="E39" i="114"/>
  <c r="E33" i="114"/>
  <c r="G18" i="114"/>
  <c r="L18" i="114" s="1"/>
  <c r="K68" i="119" l="1"/>
  <c r="G68" i="119"/>
  <c r="L69" i="119" s="1"/>
  <c r="L10" i="119"/>
  <c r="I68" i="119"/>
  <c r="L11" i="119"/>
  <c r="L12" i="119"/>
  <c r="L68" i="119" l="1"/>
  <c r="L70" i="119" s="1"/>
  <c r="L71" i="119" s="1"/>
  <c r="L72" i="119" s="1"/>
  <c r="L73" i="119" l="1"/>
  <c r="L74" i="119" s="1"/>
  <c r="D12" i="130" s="1"/>
  <c r="H12" i="130" s="1"/>
  <c r="G52" i="114" l="1"/>
  <c r="L52" i="114" s="1"/>
  <c r="G50" i="114"/>
  <c r="L50" i="114" s="1"/>
  <c r="G51" i="114"/>
  <c r="L51" i="114" s="1"/>
  <c r="E38" i="114"/>
  <c r="G38" i="114" s="1"/>
  <c r="L38" i="114" s="1"/>
  <c r="E34" i="114"/>
  <c r="G34" i="114" s="1"/>
  <c r="L34" i="114" s="1"/>
  <c r="G33" i="114"/>
  <c r="L33" i="114" s="1"/>
  <c r="E32" i="114"/>
  <c r="G32" i="114" s="1"/>
  <c r="L32" i="114" s="1"/>
  <c r="E28" i="114"/>
  <c r="G28" i="114" s="1"/>
  <c r="L28" i="114" s="1"/>
  <c r="E23" i="114"/>
  <c r="G23" i="114" s="1"/>
  <c r="L23" i="114" s="1"/>
  <c r="E46" i="114"/>
  <c r="G39" i="114"/>
  <c r="L39" i="114" s="1"/>
  <c r="G49" i="114"/>
  <c r="L49" i="114" s="1"/>
  <c r="G12" i="114"/>
  <c r="L12" i="114" s="1"/>
  <c r="G68" i="114"/>
  <c r="L68" i="114" s="1"/>
  <c r="E47" i="114"/>
  <c r="G47" i="114" s="1"/>
  <c r="L47" i="114" s="1"/>
  <c r="E45" i="114"/>
  <c r="K45" i="114" s="1"/>
  <c r="L45" i="114" s="1"/>
  <c r="E44" i="114"/>
  <c r="I44" i="114" s="1"/>
  <c r="L44" i="114" s="1"/>
  <c r="E41" i="114"/>
  <c r="G41" i="114" s="1"/>
  <c r="L41" i="114" s="1"/>
  <c r="G40" i="114"/>
  <c r="L40" i="114" s="1"/>
  <c r="E37" i="114"/>
  <c r="I37" i="114" s="1"/>
  <c r="L37" i="114" s="1"/>
  <c r="E35" i="114"/>
  <c r="G35" i="114" s="1"/>
  <c r="L35" i="114" s="1"/>
  <c r="E31" i="114"/>
  <c r="I31" i="114" s="1"/>
  <c r="L31" i="114" s="1"/>
  <c r="E29" i="114"/>
  <c r="G29" i="114" s="1"/>
  <c r="L29" i="114" s="1"/>
  <c r="E27" i="114"/>
  <c r="K27" i="114" s="1"/>
  <c r="L27" i="114" s="1"/>
  <c r="E26" i="114"/>
  <c r="I26" i="114" s="1"/>
  <c r="L26" i="114" s="1"/>
  <c r="E24" i="114"/>
  <c r="G24" i="114" s="1"/>
  <c r="L24" i="114" s="1"/>
  <c r="E22" i="114"/>
  <c r="K22" i="114" s="1"/>
  <c r="L22" i="114" s="1"/>
  <c r="E21" i="114"/>
  <c r="I21" i="114" s="1"/>
  <c r="L21" i="114" s="1"/>
  <c r="E19" i="114"/>
  <c r="G19" i="114" s="1"/>
  <c r="L19" i="114" s="1"/>
  <c r="G17" i="114"/>
  <c r="L17" i="114" s="1"/>
  <c r="E16" i="114"/>
  <c r="K16" i="114" s="1"/>
  <c r="L16" i="114" s="1"/>
  <c r="E15" i="114"/>
  <c r="I15" i="114" s="1"/>
  <c r="L15" i="114" s="1"/>
  <c r="E13" i="114"/>
  <c r="G13" i="114" s="1"/>
  <c r="L13" i="114" s="1"/>
  <c r="E11" i="114"/>
  <c r="K11" i="114" s="1"/>
  <c r="L11" i="114" s="1"/>
  <c r="E10" i="114"/>
  <c r="I10" i="114" s="1"/>
  <c r="G46" i="114" l="1"/>
  <c r="L46" i="114" s="1"/>
  <c r="I54" i="114"/>
  <c r="L57" i="114" s="1"/>
  <c r="K54" i="114"/>
  <c r="L10" i="114"/>
  <c r="I70" i="114"/>
  <c r="K70" i="114"/>
  <c r="G70" i="114"/>
  <c r="L71" i="114" s="1"/>
  <c r="G54" i="114" l="1"/>
  <c r="L55" i="114" s="1"/>
  <c r="L70" i="114"/>
  <c r="L72" i="114" s="1"/>
  <c r="L73" i="114" s="1"/>
  <c r="L74" i="114" s="1"/>
  <c r="L75" i="114" s="1"/>
  <c r="L76" i="114" s="1"/>
  <c r="L78" i="114" l="1"/>
  <c r="L54" i="114"/>
  <c r="L56" i="114" l="1"/>
  <c r="L58" i="114" s="1"/>
  <c r="L59" i="114" s="1"/>
  <c r="L60" i="114" s="1"/>
  <c r="L77" i="114" s="1"/>
  <c r="L79" i="114" l="1"/>
  <c r="E14" i="130" s="1"/>
  <c r="E17" i="130" s="1"/>
  <c r="D14" i="130"/>
  <c r="H14" i="130" l="1"/>
  <c r="E116" i="108" l="1"/>
  <c r="G116" i="108" s="1"/>
  <c r="L116" i="108" s="1"/>
  <c r="E114" i="108"/>
  <c r="G114" i="108" s="1"/>
  <c r="L114" i="108" s="1"/>
  <c r="E113" i="108"/>
  <c r="K113" i="108" s="1"/>
  <c r="L113" i="108" s="1"/>
  <c r="E112" i="108"/>
  <c r="I112" i="108" s="1"/>
  <c r="L112" i="108" s="1"/>
  <c r="E121" i="108"/>
  <c r="G121" i="108" s="1"/>
  <c r="L121" i="108" s="1"/>
  <c r="E120" i="108"/>
  <c r="G120" i="108" s="1"/>
  <c r="L120" i="108" s="1"/>
  <c r="E119" i="108"/>
  <c r="K119" i="108" s="1"/>
  <c r="L119" i="108" s="1"/>
  <c r="E118" i="108"/>
  <c r="I118" i="108" s="1"/>
  <c r="L118" i="108" s="1"/>
  <c r="E100" i="108"/>
  <c r="G100" i="108" s="1"/>
  <c r="L100" i="108" s="1"/>
  <c r="D99" i="108"/>
  <c r="E99" i="108" s="1"/>
  <c r="G99" i="108" s="1"/>
  <c r="L99" i="108" s="1"/>
  <c r="D98" i="108"/>
  <c r="E98" i="108" s="1"/>
  <c r="K98" i="108" s="1"/>
  <c r="L98" i="108" s="1"/>
  <c r="D97" i="108"/>
  <c r="E97" i="108" s="1"/>
  <c r="I97" i="108" s="1"/>
  <c r="L97" i="108" s="1"/>
  <c r="E66" i="108"/>
  <c r="E69" i="108" s="1"/>
  <c r="G69" i="108" s="1"/>
  <c r="L69" i="108" s="1"/>
  <c r="E72" i="108"/>
  <c r="E60" i="108"/>
  <c r="E67" i="108" l="1"/>
  <c r="I67" i="108" s="1"/>
  <c r="L67" i="108" s="1"/>
  <c r="E71" i="108"/>
  <c r="G71" i="108" s="1"/>
  <c r="L71" i="108" s="1"/>
  <c r="E70" i="108"/>
  <c r="G70" i="108" s="1"/>
  <c r="L70" i="108" s="1"/>
  <c r="E68" i="108"/>
  <c r="K68" i="108" s="1"/>
  <c r="L68" i="108" s="1"/>
  <c r="E15" i="108"/>
  <c r="E13" i="108"/>
  <c r="E11" i="108"/>
  <c r="E9" i="108"/>
  <c r="E173" i="108"/>
  <c r="G173" i="108" s="1"/>
  <c r="L173" i="108" s="1"/>
  <c r="E172" i="108"/>
  <c r="G172" i="108" s="1"/>
  <c r="L172" i="108" s="1"/>
  <c r="E171" i="108"/>
  <c r="G171" i="108" s="1"/>
  <c r="L171" i="108" s="1"/>
  <c r="E169" i="108"/>
  <c r="K169" i="108" s="1"/>
  <c r="L169" i="108" s="1"/>
  <c r="E168" i="108"/>
  <c r="I168" i="108" s="1"/>
  <c r="L168" i="108" s="1"/>
  <c r="E166" i="108"/>
  <c r="G166" i="108" s="1"/>
  <c r="L166" i="108" s="1"/>
  <c r="D165" i="108"/>
  <c r="E165" i="108" s="1"/>
  <c r="D164" i="108"/>
  <c r="E164" i="108" s="1"/>
  <c r="K164" i="108" s="1"/>
  <c r="L164" i="108" s="1"/>
  <c r="E163" i="108"/>
  <c r="I163" i="108" s="1"/>
  <c r="L163" i="108" s="1"/>
  <c r="E161" i="108"/>
  <c r="G161" i="108" s="1"/>
  <c r="L161" i="108" s="1"/>
  <c r="E160" i="108"/>
  <c r="G160" i="108" s="1"/>
  <c r="L160" i="108" s="1"/>
  <c r="E159" i="108"/>
  <c r="G159" i="108" s="1"/>
  <c r="L159" i="108" s="1"/>
  <c r="E156" i="108"/>
  <c r="K156" i="108" s="1"/>
  <c r="L156" i="108" s="1"/>
  <c r="E155" i="108"/>
  <c r="E153" i="108"/>
  <c r="G153" i="108" s="1"/>
  <c r="L153" i="108" s="1"/>
  <c r="D152" i="108"/>
  <c r="E152" i="108" s="1"/>
  <c r="G152" i="108" s="1"/>
  <c r="L152" i="108" s="1"/>
  <c r="D151" i="108"/>
  <c r="E151" i="108" s="1"/>
  <c r="K151" i="108" s="1"/>
  <c r="L151" i="108" s="1"/>
  <c r="E150" i="108"/>
  <c r="I150" i="108" s="1"/>
  <c r="L150" i="108" s="1"/>
  <c r="E79" i="108"/>
  <c r="G79" i="108" s="1"/>
  <c r="L79" i="108" s="1"/>
  <c r="E78" i="108"/>
  <c r="G78" i="108" s="1"/>
  <c r="L78" i="108" s="1"/>
  <c r="E77" i="108"/>
  <c r="G77" i="108" s="1"/>
  <c r="L77" i="108" s="1"/>
  <c r="E76" i="108"/>
  <c r="G76" i="108" s="1"/>
  <c r="L76" i="108" s="1"/>
  <c r="E75" i="108"/>
  <c r="G75" i="108" s="1"/>
  <c r="L75" i="108" s="1"/>
  <c r="E74" i="108"/>
  <c r="K74" i="108" s="1"/>
  <c r="L74" i="108" s="1"/>
  <c r="E73" i="108"/>
  <c r="I73" i="108" s="1"/>
  <c r="L73" i="108" s="1"/>
  <c r="E65" i="108"/>
  <c r="G65" i="108" s="1"/>
  <c r="L65" i="108" s="1"/>
  <c r="I155" i="108" l="1"/>
  <c r="L155" i="108" s="1"/>
  <c r="E158" i="108"/>
  <c r="G158" i="108" s="1"/>
  <c r="L158" i="108" s="1"/>
  <c r="E10" i="108"/>
  <c r="I10" i="108" s="1"/>
  <c r="L10" i="108" s="1"/>
  <c r="E12" i="108"/>
  <c r="I12" i="108" s="1"/>
  <c r="L12" i="108" s="1"/>
  <c r="E14" i="108"/>
  <c r="I14" i="108" s="1"/>
  <c r="L14" i="108" s="1"/>
  <c r="E17" i="108"/>
  <c r="K17" i="108" s="1"/>
  <c r="L17" i="108" s="1"/>
  <c r="E16" i="108"/>
  <c r="I16" i="108" s="1"/>
  <c r="L16" i="108" s="1"/>
  <c r="G165" i="108"/>
  <c r="L165" i="108" s="1"/>
  <c r="E63" i="108"/>
  <c r="G63" i="108" s="1"/>
  <c r="E64" i="108"/>
  <c r="G64" i="108" s="1"/>
  <c r="L64" i="108" s="1"/>
  <c r="E61" i="108"/>
  <c r="I61" i="108" s="1"/>
  <c r="E62" i="108"/>
  <c r="K62" i="108" s="1"/>
  <c r="L62" i="108" l="1"/>
  <c r="K320" i="108"/>
  <c r="L61" i="108"/>
  <c r="I320" i="108"/>
  <c r="L63" i="108"/>
  <c r="G320" i="108"/>
  <c r="L321" i="108" s="1"/>
  <c r="L320" i="108" l="1"/>
  <c r="L322" i="108" s="1"/>
  <c r="L323" i="108" s="1"/>
  <c r="L324" i="108" s="1"/>
  <c r="L325" i="108" l="1"/>
  <c r="L326" i="108" s="1"/>
  <c r="D11" i="130" s="1"/>
  <c r="D17" i="130" s="1"/>
  <c r="H11" i="130" l="1"/>
  <c r="H17" i="130" s="1"/>
  <c r="H18" i="130" l="1"/>
  <c r="H19" i="130" s="1"/>
  <c r="H20" i="130" l="1"/>
  <c r="H21" i="130" s="1"/>
  <c r="H22" i="130" l="1"/>
  <c r="H23" i="130" s="1"/>
  <c r="G6" i="130" s="1"/>
  <c r="K20" i="55" l="1"/>
  <c r="H8" i="53"/>
  <c r="L8" i="53" s="1"/>
</calcChain>
</file>

<file path=xl/comments1.xml><?xml version="1.0" encoding="utf-8"?>
<comments xmlns="http://schemas.openxmlformats.org/spreadsheetml/2006/main">
  <authors>
    <author>Customer</author>
  </authors>
  <commentList>
    <comment ref="C244" authorId="0">
      <text>
        <r>
          <rPr>
            <b/>
            <sz val="9"/>
            <color indexed="81"/>
            <rFont val="Tahoma"/>
            <family val="2"/>
            <charset val="204"/>
          </rPr>
          <t>Customer:</t>
        </r>
        <r>
          <rPr>
            <sz val="9"/>
            <color indexed="81"/>
            <rFont val="Tahoma"/>
            <family val="2"/>
            <charset val="204"/>
          </rPr>
          <t xml:space="preserve">
1კგ=1.19ლ</t>
        </r>
      </text>
    </comment>
  </commentList>
</comments>
</file>

<file path=xl/comments2.xml><?xml version="1.0" encoding="utf-8"?>
<comments xmlns="http://schemas.openxmlformats.org/spreadsheetml/2006/main">
  <authors>
    <author>Customer</author>
  </authors>
  <commentList>
    <comment ref="C177" authorId="0">
      <text>
        <r>
          <rPr>
            <b/>
            <sz val="9"/>
            <color indexed="81"/>
            <rFont val="Tahoma"/>
            <family val="2"/>
            <charset val="204"/>
          </rPr>
          <t>Customer:</t>
        </r>
        <r>
          <rPr>
            <sz val="9"/>
            <color indexed="81"/>
            <rFont val="Tahoma"/>
            <family val="2"/>
            <charset val="204"/>
          </rPr>
          <t xml:space="preserve">
1კგ=1.19ლ</t>
        </r>
      </text>
    </comment>
    <comment ref="C258" authorId="0">
      <text>
        <r>
          <rPr>
            <b/>
            <sz val="9"/>
            <color indexed="81"/>
            <rFont val="Tahoma"/>
            <family val="2"/>
            <charset val="204"/>
          </rPr>
          <t>Customer:</t>
        </r>
        <r>
          <rPr>
            <sz val="9"/>
            <color indexed="81"/>
            <rFont val="Tahoma"/>
            <family val="2"/>
            <charset val="204"/>
          </rPr>
          <t xml:space="preserve">
1კგ=1.19ლ</t>
        </r>
      </text>
    </comment>
  </commentList>
</comments>
</file>

<file path=xl/sharedStrings.xml><?xml version="1.0" encoding="utf-8"?>
<sst xmlns="http://schemas.openxmlformats.org/spreadsheetml/2006/main" count="1771" uniqueCount="457">
  <si>
    <t>კრებსითი სახარჯთაღრიცხვო  გაანგარიშება</t>
  </si>
  <si>
    <t xml:space="preserve">სახარჯთაღრიცხვო ღირებულება  </t>
  </si>
  <si>
    <t>ლარი</t>
  </si>
  <si>
    <t>შეადგინა</t>
  </si>
  <si>
    <t>./ დ. ურჯუმელაშვილი/</t>
  </si>
  <si>
    <t>ganmartebiTi baraTi</t>
  </si>
  <si>
    <t xml:space="preserve">   სახარჯთაღრიცხვო დოკუმენტაცია შედგენილია მუშა ნახაზების საფუძველზე.</t>
  </si>
  <si>
    <t xml:space="preserve">    mTlianma saxarjTaRricxvo Rirebulebam Seadgina:</t>
  </si>
  <si>
    <t>lari, maT Soris dRg:</t>
  </si>
  <si>
    <t>lari.</t>
  </si>
  <si>
    <t xml:space="preserve">   სახარჯთაღრიცხვო დოკუმენტაცია საბაზრო ურთიერთობების პირობებში განსაზღვრავს მშენებლობის  წინასწარ საორიენტაციო ღირებულებას და არ წარმოადგენს დამკვეთსა და მოიჯარეს შორის გადახდის საშუალებას.</t>
  </si>
  <si>
    <t>შეადგინა:</t>
  </si>
  <si>
    <t>/  დ.ურჯუმელაშვილი /</t>
  </si>
  <si>
    <t>#</t>
  </si>
  <si>
    <t>სახარჯთარრიცხვო ანგარიშის, ხარჯთაღრიცხვის ნომერი</t>
  </si>
  <si>
    <t>სახარჯთაღრიცხვო ღირებულება, ლარი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</si>
  <si>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</si>
  <si>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</si>
  <si>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</si>
  <si>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 და ინვენტარი</t>
  </si>
  <si>
    <t>სხვა ხარჯები</t>
  </si>
  <si>
    <t>ჯამი</t>
  </si>
  <si>
    <t>სულ</t>
  </si>
  <si>
    <t>რეზერვი გაუთვალისწინებელ სამუშაოებზე 5%</t>
  </si>
  <si>
    <t xml:space="preserve">დამატებული ღირებულების გადასახადი 18% </t>
  </si>
  <si>
    <t>სახარჯთაღრიცხვო ღირებულება</t>
  </si>
  <si>
    <t>rigiTi #</t>
  </si>
  <si>
    <t>სამუშაოების და დანახარჯების დასახელება</t>
  </si>
  <si>
    <t xml:space="preserve">სამონტაჟო სამუშაოები </t>
  </si>
  <si>
    <t>საერთო-სამშენებლო სამუშაოები</t>
  </si>
  <si>
    <t>ელექტროსამონტაჟო სამუშაოები</t>
  </si>
  <si>
    <t>გათბობა-გაგრილების სამუშაოები</t>
  </si>
  <si>
    <t>განზ.ერთ.</t>
  </si>
  <si>
    <t>რაოდენობა</t>
  </si>
  <si>
    <t>მასალა</t>
  </si>
  <si>
    <t>ხელფასი</t>
  </si>
  <si>
    <t>ტრანსპორტი (მექანიზმები)</t>
  </si>
  <si>
    <t>ღირებულება</t>
  </si>
  <si>
    <t>განზ. ერთ-ზე</t>
  </si>
  <si>
    <t>ganz. erT-ze</t>
  </si>
  <si>
    <t>sul</t>
  </si>
  <si>
    <r>
      <rPr>
        <b/>
        <sz val="10"/>
        <rFont val="AcadNusx"/>
      </rPr>
      <t>მ</t>
    </r>
    <r>
      <rPr>
        <b/>
        <vertAlign val="superscript"/>
        <sz val="10"/>
        <rFont val="AcadNusx"/>
      </rPr>
      <t>3</t>
    </r>
  </si>
  <si>
    <t>შრომის დანახარჯები</t>
  </si>
  <si>
    <t>კაც.სთ</t>
  </si>
  <si>
    <t>მან.სთ</t>
  </si>
  <si>
    <t>სხვა მანქანები</t>
  </si>
  <si>
    <t>ღორღი</t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</si>
  <si>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</si>
  <si>
    <t>ტ</t>
  </si>
  <si>
    <t>მანქანები</t>
  </si>
  <si>
    <t>ბალასტი</t>
  </si>
  <si>
    <t>სხვა მასალები</t>
  </si>
  <si>
    <t>შრომის დანახარჯი</t>
  </si>
  <si>
    <r>
      <rPr>
        <sz val="10"/>
        <rFont val="AcadNusx"/>
      </rPr>
      <t>მ</t>
    </r>
    <r>
      <rPr>
        <vertAlign val="superscript"/>
        <sz val="10"/>
        <rFont val="AcadNusx"/>
      </rPr>
      <t>2</t>
    </r>
  </si>
  <si>
    <t>ხის მასალა</t>
  </si>
  <si>
    <t>ტონა</t>
  </si>
  <si>
    <t xml:space="preserve">საყალიბე  ფარი  </t>
  </si>
  <si>
    <t>ელექტროდი</t>
  </si>
  <si>
    <t>კგ</t>
  </si>
  <si>
    <t>ჭანჭიკები</t>
  </si>
  <si>
    <r>
      <rPr>
        <sz val="10"/>
        <rFont val="AcadNusx"/>
      </rP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  <charset val="204"/>
      </rPr>
      <t>Φ8A-240</t>
    </r>
  </si>
  <si>
    <t>kac.sT</t>
  </si>
  <si>
    <t>ცალი</t>
  </si>
  <si>
    <t>სხვა  მანქანები</t>
  </si>
  <si>
    <t>man.sT</t>
  </si>
  <si>
    <t>სამონტაჟო სამარჯვების ფოლადის კონსტრუქციები</t>
  </si>
  <si>
    <t>მ</t>
  </si>
  <si>
    <t>lari</t>
  </si>
  <si>
    <t>ლითონის კონსტრუქციების შეღებვა ანტიკოროზიული საღებავით</t>
  </si>
  <si>
    <t>გამხსნელი</t>
  </si>
  <si>
    <t>ბლოკი 40X20X20</t>
  </si>
  <si>
    <t>ქვიშა-ცემენტის ხსნარი მ-75</t>
  </si>
  <si>
    <t xml:space="preserve">შრომის დანახარჯები </t>
  </si>
  <si>
    <t xml:space="preserve">შურუპი თვითმჭრელი ((TN) 3.5*25 </t>
  </si>
  <si>
    <t>საიზოლაციო ლენტი პროფილებისათვის PE 100 25მ</t>
  </si>
  <si>
    <t>კნაუფის ჭერის მიმმართველი პროფილი @ U 27\28\27\0.6 \3000  KNAUF</t>
  </si>
  <si>
    <t>რკინის დიუბელი</t>
  </si>
  <si>
    <t>მავთული ყულფით</t>
  </si>
  <si>
    <t>ანკერი სწრაფსაკიდი</t>
  </si>
  <si>
    <t xml:space="preserve">ნესტგამძლე  კნაუფის თაბაშირ–მუყაოს ფილა 2500*1200*12.5 </t>
  </si>
  <si>
    <t>ჭერების მოწყობა ამსტრონგის ფილებისაგან</t>
  </si>
  <si>
    <t>ამსტრონგის ჭერი კომპლექტში</t>
  </si>
  <si>
    <t xml:space="preserve"> კედლების შელესვა ქვიშა-ცემენტის ხსნარით</t>
  </si>
  <si>
    <t>ქვიშა-ცემენტის ხსნარი 1:3</t>
  </si>
  <si>
    <t xml:space="preserve"> კედლების  შეღებვა</t>
  </si>
  <si>
    <t>წებო-ცემენტი</t>
  </si>
  <si>
    <t>ნაკერის შემავსებელი</t>
  </si>
  <si>
    <t>იატაკის მოჭიმვა ქვიშა-ცემენტის ხსნარით სისქით 40მმ</t>
  </si>
  <si>
    <t>ქვიშა-ცემენტის ხსნარი m-150</t>
  </si>
  <si>
    <t xml:space="preserve">იატაკების მოწყობა კერამოგრანიტის ფილებით </t>
  </si>
  <si>
    <t>ნაკერების შემავსებელი</t>
  </si>
  <si>
    <t>ფითხი</t>
  </si>
  <si>
    <t>პირდაპირი დანახარჯების ჯამი</t>
  </si>
  <si>
    <t>ზედნადები ხარჯები</t>
  </si>
  <si>
    <t>10%</t>
  </si>
  <si>
    <t>8%</t>
  </si>
  <si>
    <t>გეგმიური დაგროვება</t>
  </si>
  <si>
    <t xml:space="preserve"> </t>
  </si>
  <si>
    <t>როზეტების მონტაჟი</t>
  </si>
  <si>
    <t>ჩამრთველების მონტაჟი</t>
  </si>
  <si>
    <t>ზოლოვანი სანათების მონტაჟი</t>
  </si>
  <si>
    <t>ზოლოვანი სანათი</t>
  </si>
  <si>
    <t>cali</t>
  </si>
  <si>
    <t>m</t>
  </si>
  <si>
    <t>მ.შ. სამშენებლო სამუშაოები</t>
  </si>
  <si>
    <t>კ-ტი</t>
  </si>
  <si>
    <r>
      <rPr>
        <sz val="10"/>
        <rFont val="AcadMtavr"/>
      </rPr>
      <t>დეკორატიული პანელი-</t>
    </r>
    <r>
      <rPr>
        <sz val="10"/>
        <rFont val="Calibri"/>
        <family val="2"/>
        <charset val="204"/>
        <scheme val="minor"/>
      </rPr>
      <t>FUNDERMAX-  0260-Arezzo-0244 Santos კომბინაციით-შესაბამისი</t>
    </r>
  </si>
  <si>
    <t>ფიბრობეტონის პანელი სისქით მინ 1.2 სმ</t>
  </si>
  <si>
    <r>
      <rPr>
        <b/>
        <sz val="10"/>
        <rFont val="AcadNusx"/>
      </rPr>
      <t xml:space="preserve">ფანჯრის ფერდების მოპირკეთება მდფ-ის ფილებით, </t>
    </r>
    <r>
      <rPr>
        <b/>
        <sz val="10"/>
        <rFont val="Arial"/>
        <family val="2"/>
        <charset val="204"/>
      </rPr>
      <t>RAL-6018 შესაბამისი</t>
    </r>
  </si>
  <si>
    <t>სვეტების დამუშავება და დაფარვა ბეტონის ლაქით</t>
  </si>
  <si>
    <t>მილსადენი პლასტმასის მილებისაგან დ-20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</si>
  <si>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გ-20 მმ </t>
    </r>
  </si>
  <si>
    <t>ქურო        Ø20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</si>
  <si>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Ø20</t>
    </r>
  </si>
  <si>
    <t>სამკაპი      Ø20/20</t>
  </si>
  <si>
    <t>მილსადენი პლასტმასის მილებისაგან დ-25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</si>
  <si>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</si>
  <si>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t>ქურო        Ø25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</si>
  <si>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Ø25</t>
    </r>
  </si>
  <si>
    <t>გადამყვანი      Ø25/20</t>
  </si>
  <si>
    <t>შემრევი ონკანების მონტაჟი</t>
  </si>
  <si>
    <t>წყალგამაცხელებლის   მონტაჟი</t>
  </si>
  <si>
    <t>ვენტილების მონტაჟი დ-50 მმ-მდე</t>
  </si>
  <si>
    <t>jami</t>
  </si>
  <si>
    <t>მილსადენი პლასტმასის საკანალიზაციო მილებისაგან დ-50მმ</t>
  </si>
  <si>
    <t>პლასტმასის საკანალიზაციო მილები Ø50</t>
  </si>
  <si>
    <t>მუხლი საკანალიზაციო      Ø50-45°</t>
  </si>
  <si>
    <t>მუხლი საკანალიზაციო      Ø50-90°</t>
  </si>
  <si>
    <t>მილსადენი პლასტმასის საკანალიზაციო მილებისაგან დ-110 მმ</t>
  </si>
  <si>
    <t>k-ti</t>
  </si>
  <si>
    <t>უნიტაზების მონტაჟი</t>
  </si>
  <si>
    <t>მ²</t>
  </si>
  <si>
    <t>სამაგრები</t>
  </si>
  <si>
    <t xml:space="preserve">საყალიბე ფარი </t>
  </si>
  <si>
    <t>ფასადის კედლების შელესვა ქვიშა-ცემენტის ხსნარით</t>
  </si>
  <si>
    <t>ქვიშა</t>
  </si>
  <si>
    <t>kac/sT</t>
  </si>
  <si>
    <t>სხვა მასალა</t>
  </si>
  <si>
    <t>ავტოგრეიდერი  79 კვტ</t>
  </si>
  <si>
    <t>სარწყავი მანქანა 6000ლ</t>
  </si>
  <si>
    <t>წყალი</t>
  </si>
  <si>
    <t>გამანაწილებელი</t>
  </si>
  <si>
    <r>
      <t>მ</t>
    </r>
    <r>
      <rPr>
        <vertAlign val="superscript"/>
        <sz val="10"/>
        <rFont val="AcadNusx"/>
      </rPr>
      <t>2</t>
    </r>
  </si>
  <si>
    <r>
      <t>მ</t>
    </r>
    <r>
      <rPr>
        <vertAlign val="superscript"/>
        <sz val="10"/>
        <rFont val="AcadNusx"/>
      </rPr>
      <t>3</t>
    </r>
  </si>
  <si>
    <t>სამაგრები        Ø20</t>
  </si>
  <si>
    <t>სამაგრები        Ø25</t>
  </si>
  <si>
    <t xml:space="preserve">ალუმინის ვიტრაჟების    მონტაჟი  </t>
  </si>
  <si>
    <t>სამაგრების  ფოლადის  კონსტრუქციები</t>
  </si>
  <si>
    <r>
      <t>მ</t>
    </r>
    <r>
      <rPr>
        <b/>
        <vertAlign val="superscript"/>
        <sz val="10"/>
        <rFont val="AcadNusx"/>
      </rPr>
      <t>3</t>
    </r>
  </si>
  <si>
    <t>ფითხი    Knauf Fugenfuller ან ( Knauf Uniflot)</t>
  </si>
  <si>
    <t>ხელსაბნების  მონტაჟი</t>
  </si>
  <si>
    <r>
      <t>მ</t>
    </r>
    <r>
      <rPr>
        <b/>
        <vertAlign val="superscript"/>
        <sz val="10"/>
        <rFont val="AcadNusx"/>
      </rPr>
      <t>2</t>
    </r>
  </si>
  <si>
    <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-15</t>
    </r>
  </si>
  <si>
    <r>
      <t>m</t>
    </r>
    <r>
      <rPr>
        <b/>
        <vertAlign val="superscript"/>
        <sz val="10"/>
        <rFont val="AcadNusx"/>
      </rPr>
      <t>2</t>
    </r>
  </si>
  <si>
    <r>
      <t xml:space="preserve">კნაუფის ჭერის პროფილი @ C 27\60\27\0.6 \3000     </t>
    </r>
    <r>
      <rPr>
        <sz val="10"/>
        <rFont val="Arial"/>
        <family val="2"/>
        <charset val="204"/>
      </rPr>
      <t>KNAUF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</si>
  <si>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</si>
  <si>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</si>
  <si>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r>
      <t>სამკაპი საკანალიზაციო       Ø50/50-90</t>
    </r>
    <r>
      <rPr>
        <vertAlign val="superscript"/>
        <sz val="10"/>
        <rFont val="Arial"/>
        <family val="2"/>
        <charset val="204"/>
      </rPr>
      <t>0</t>
    </r>
  </si>
  <si>
    <r>
      <t xml:space="preserve">პლასტმასის საკანალიზაციო მილები </t>
    </r>
    <r>
      <rPr>
        <sz val="10"/>
        <rFont val="Arial"/>
        <family val="2"/>
        <charset val="204"/>
      </rPr>
      <t>Ø110</t>
    </r>
  </si>
  <si>
    <r>
      <t>მუხლი      Ø110-90</t>
    </r>
    <r>
      <rPr>
        <vertAlign val="superscript"/>
        <sz val="10"/>
        <rFont val="Arial"/>
        <family val="2"/>
        <charset val="204"/>
      </rPr>
      <t>0</t>
    </r>
  </si>
  <si>
    <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-25</t>
    </r>
  </si>
  <si>
    <t>განზ.
ერთ.</t>
  </si>
  <si>
    <t xml:space="preserve">  </t>
  </si>
  <si>
    <t>თბილისი-2021 წ.</t>
  </si>
  <si>
    <t>,, გალფის"  ხუთი ავტოგასამართი სადგურის სარეკონსტრუქციო სამუშაოები</t>
  </si>
  <si>
    <t xml:space="preserve">    ცალკეულ სამუშაოთა  მატერიალური და შრომითი რესურსების რაოდენობის   დასადგენად  გამოყენებულია 1984 წლის სახარჯთაღრიცხვო ნორმატივები.. მასალების ღირებულება განსაზღვრულია სრფ 2021წ -IIkv da sabazro fasebis mixedviT.  ხარჯთაღრიცხვაში გათვალისწინებულია  ზედნადები ხარჯები -10%, საერთო სამშენებლო და  12% სანტექნიკურ სამუშაოებზე: 75% ხელფასიდან  ელექტროსამონტაჟო სამუშაოებზე: 65% ხელფასიდან -სუსტი დენების სამონტაჟო სამუშაოებზე: 68% ხელფასიდან დანადგარების მონტაჟზე; 72%ხელფასიდან ვიდეომეთვალყურეობის მონტაჟზე.  gegmiuri dagroveba -8%; rezervi gauTvaliswinebel samuSaoebze -5% da damatebiTi Rirebulebis gadasaxadi -18%.</t>
  </si>
  <si>
    <t>სადემონტაჟო  სამუშაოები</t>
  </si>
  <si>
    <t>სახურავის  ბურულის  დემონტაჟი</t>
  </si>
  <si>
    <t>აგს-ის  ბაქანზე იატაკის მოჭიმვის მოხსნა</t>
  </si>
  <si>
    <t>აგს-ის  ბაქანზე  (+0.30 ნიშნულზე) იატაკის ფილების მოხსნა</t>
  </si>
  <si>
    <t>ფარდულის შეკიდული ჭერის    დემონტაჟი</t>
  </si>
  <si>
    <t xml:space="preserve"> ვენტილი 1/2</t>
  </si>
  <si>
    <r>
      <t>სამკაპი საკანალიზაციო       Ø110/110-90</t>
    </r>
    <r>
      <rPr>
        <vertAlign val="superscript"/>
        <sz val="10"/>
        <rFont val="Arial"/>
        <family val="2"/>
        <charset val="204"/>
      </rPr>
      <t>0</t>
    </r>
  </si>
  <si>
    <r>
      <t>ბეტონი  B</t>
    </r>
    <r>
      <rPr>
        <sz val="10"/>
        <rFont val="Arial"/>
        <family val="2"/>
      </rPr>
      <t>B25</t>
    </r>
  </si>
  <si>
    <t>საყალიბო ფარი (ლამინირებული  ფანერა)</t>
  </si>
  <si>
    <t>კედლის ამოშენება წვრილი სამშენებლო ბლოკით</t>
  </si>
  <si>
    <t>ოფისის1-4  ღერძზე  არსებული ვიტრაჟის (4.9X2.8მ)დემონტაჟი-1 ცალი</t>
  </si>
  <si>
    <t>ოფისის 4-1 ღერძზე  არსებული ფანჯრის  (0.75X1მ) დემონტაჟი-1 ცალი</t>
  </si>
  <si>
    <t xml:space="preserve"> იატაკის მოჭიმვის მოხსნა</t>
  </si>
  <si>
    <t>სანკვანძის იატაკის  საფარის დემონტაჟი</t>
  </si>
  <si>
    <t xml:space="preserve"> სანკვანძის იატაკის მოჭიმვის მოხსნა</t>
  </si>
  <si>
    <t>სანკვანძის კარების დემონტაჟი-1 ცალი</t>
  </si>
  <si>
    <t>საოპერატორო</t>
  </si>
  <si>
    <t>ოფისის 4-1 ღერძზე  ღიობის გაჭრა კარებისათვის  (0.9X2.2X0.2მ) დემონტაჟი-1 ცალი</t>
  </si>
  <si>
    <t>ფარდული</t>
  </si>
  <si>
    <t>სვეტების შეფუთვა თაბაშირმუყაოს ფილებით</t>
  </si>
  <si>
    <t>ფარდულის სახურავის ბურულის მოწყობა  პროფფენილით</t>
  </si>
  <si>
    <t xml:space="preserve">SromiTi resursebi </t>
  </si>
  <si>
    <t>amwe</t>
  </si>
  <si>
    <t>manqanebi</t>
  </si>
  <si>
    <t>kv.m.</t>
  </si>
  <si>
    <t>samontaJo elementebi</t>
  </si>
  <si>
    <t>kg.</t>
  </si>
  <si>
    <t>WanWikebi</t>
  </si>
  <si>
    <t>sxva xarjebi</t>
  </si>
  <si>
    <t>SromiTi resursebi</t>
  </si>
  <si>
    <t>წყალsawreti milebis mowyoba</t>
  </si>
  <si>
    <t>მონოლითური რკინაბეტონის საყრდენი კედლის მოწყობა</t>
  </si>
  <si>
    <t>სარეზერვუარო პარკი</t>
  </si>
  <si>
    <t>ბულდოზერი 79 კვტ</t>
  </si>
  <si>
    <t>სატკეპნი 5ტ</t>
  </si>
  <si>
    <t>სატკეპნი 10ტ</t>
  </si>
  <si>
    <r>
      <t>მ</t>
    </r>
    <r>
      <rPr>
        <vertAlign val="superscript"/>
        <sz val="9"/>
        <rFont val="AcadNusx"/>
      </rPr>
      <t>3</t>
    </r>
  </si>
  <si>
    <t>ფარდულის სახურავის ბურულის     დემონტაჟი</t>
  </si>
  <si>
    <t>II. სამშენებლო  სამუშაოები</t>
  </si>
  <si>
    <t xml:space="preserve"> სანკვანძის კედლების შელესვა ქვიშა-ცემენტის ხსნარით</t>
  </si>
  <si>
    <t>სანკვანძის იატაკის მოჭიმვა ქვიშა-ცემენტის ხსნარით სისქით 40მმ</t>
  </si>
  <si>
    <r>
      <rPr>
        <b/>
        <sz val="10"/>
        <rFont val="AcadNusx"/>
      </rPr>
      <t>6  მმ</t>
    </r>
    <r>
      <rPr>
        <b/>
        <vertAlign val="superscript"/>
        <sz val="10"/>
        <rFont val="AcadNusx"/>
      </rPr>
      <t>2</t>
    </r>
    <r>
      <rPr>
        <b/>
        <sz val="10"/>
        <rFont val="AcadNusx"/>
      </rPr>
      <t>-მდე კაბელების გაყვანა</t>
    </r>
  </si>
  <si>
    <t>16 მმ2-მდე კაბელების გაყვანა</t>
  </si>
  <si>
    <t>გოფრირებული მილების მონტაჟი დ-25</t>
  </si>
  <si>
    <t>გოფრირებული მილების მონტაჟი დ-32</t>
  </si>
  <si>
    <t>კაბელი სპილენძის ორმაგი იზოლაციით N2XH 3*2.5 მმ2</t>
  </si>
  <si>
    <t>კაბელი სპილენძის ორმაგი იზოლაციით N2XH 2*2.5 მმ2</t>
  </si>
  <si>
    <t>საინსტალაციო გოფრირებული ჰალოგენისგან თავისუფალი მილი PVC d=25 mm</t>
  </si>
  <si>
    <t>საინსტალაციო გოფრირებული ჰალოგენისგან თავისუფალი მილი PVC d=32 mm</t>
  </si>
  <si>
    <t xml:space="preserve">საშტეფსელო როზეტი 16 ამპ. დამიწების კონტაქტით </t>
  </si>
  <si>
    <t>ერთ ღილაკიანი ჩამრთველი</t>
  </si>
  <si>
    <t>ჩარჩო ერთიანი</t>
  </si>
  <si>
    <t>I სამშენებლო სამუშაოები</t>
  </si>
  <si>
    <t>გრუნტის უკუჩაყრა ხელით</t>
  </si>
  <si>
    <r>
      <rPr>
        <b/>
        <sz val="10"/>
        <rFont val="AcadNusx"/>
      </rPr>
      <t xml:space="preserve"> მ</t>
    </r>
    <r>
      <rPr>
        <b/>
        <vertAlign val="superscript"/>
        <sz val="10"/>
        <rFont val="AcadNusx"/>
      </rPr>
      <t>3</t>
    </r>
  </si>
  <si>
    <t>სასიგნალო ლენტი</t>
  </si>
  <si>
    <t>გრუნტის დამუშავება ხელით, საკაბელო თხრილის მოსაწყობად</t>
  </si>
  <si>
    <t>სამონტაჟო  მასალა</t>
  </si>
  <si>
    <t xml:space="preserve">გამანაწილებელი კოლოფი </t>
  </si>
  <si>
    <t xml:space="preserve">საკომუტაციო კლემა სამ კონტაქტზე </t>
  </si>
  <si>
    <t xml:space="preserve">საკომუტაციო კლემა ხუთ კონტაქტზე </t>
  </si>
  <si>
    <t xml:space="preserve">საკომუტაციო კლემა რვა კონტაქტზე </t>
  </si>
  <si>
    <t>ლედ სანათი ჩაფლული მონტაჟის 12 ვატი</t>
  </si>
  <si>
    <t xml:space="preserve"> სანათების მონტაჟი</t>
  </si>
  <si>
    <t>სააპარატო კოლოფი</t>
  </si>
  <si>
    <t>ლოკალურ-რესურსული ხარჯთაღრიცხვა #2-4</t>
  </si>
  <si>
    <t>კაბელი სპილენძის ორმაგი იზოლაციით N2XH 4*2.5 მმ2</t>
  </si>
  <si>
    <t>დრეკადი მილი 1/2</t>
  </si>
  <si>
    <t>ლოკალურ-რესურსული ხარჯთაღრიცხვა #2-2</t>
  </si>
  <si>
    <t>სამკაპი      Ø25/25</t>
  </si>
  <si>
    <r>
      <t>სამკაპი საკანალიზაციო       Ø110/110/50-45</t>
    </r>
    <r>
      <rPr>
        <vertAlign val="superscript"/>
        <sz val="10"/>
        <rFont val="Arial"/>
        <family val="2"/>
        <charset val="204"/>
      </rPr>
      <t>0</t>
    </r>
  </si>
  <si>
    <r>
      <t>მუხლი      Ø100-90</t>
    </r>
    <r>
      <rPr>
        <vertAlign val="superscript"/>
        <sz val="10"/>
        <rFont val="Arial"/>
        <family val="2"/>
        <charset val="204"/>
      </rPr>
      <t>0</t>
    </r>
  </si>
  <si>
    <r>
      <t>სამკაპი        Ø100/100-90</t>
    </r>
    <r>
      <rPr>
        <vertAlign val="superscript"/>
        <sz val="10"/>
        <rFont val="Arial"/>
        <family val="2"/>
        <charset val="204"/>
      </rPr>
      <t>0</t>
    </r>
  </si>
  <si>
    <r>
      <t>მუხლი      Ø100-45</t>
    </r>
    <r>
      <rPr>
        <vertAlign val="superscript"/>
        <sz val="10"/>
        <rFont val="Arial"/>
        <family val="2"/>
        <charset val="204"/>
      </rPr>
      <t>0</t>
    </r>
  </si>
  <si>
    <t>კანალიზაცია</t>
  </si>
  <si>
    <t>წყალმომარაგება-კანალიზაციის სამუშაოები</t>
  </si>
  <si>
    <t>ვენტილაცია-კონდიცირების სამუშაოები</t>
  </si>
  <si>
    <t>სამაგრი დეტალები  კონდიციონერის გარე ბლოკის სამონტაჟო</t>
  </si>
  <si>
    <t>კონდიცირება</t>
  </si>
  <si>
    <t xml:space="preserve">სპლიტ კონდიციონერი (24000BTU) </t>
  </si>
  <si>
    <r>
      <t xml:space="preserve">სპლიტ კონდიციონერი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24 000 BTU)</t>
    </r>
    <r>
      <rPr>
        <sz val="11"/>
        <rFont val="Calibri"/>
        <family val="2"/>
      </rPr>
      <t xml:space="preserve">
 გარე ბლოკებით</t>
    </r>
  </si>
  <si>
    <r>
      <t xml:space="preserve">სპილენძის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6.35მმ</t>
    </r>
  </si>
  <si>
    <r>
      <t xml:space="preserve">სპი;ენძის მილი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12.7მმ</t>
    </r>
  </si>
  <si>
    <r>
      <t xml:space="preserve">გამწოვი ქოლგა 600X600 ვენტილატორით, </t>
    </r>
    <r>
      <rPr>
        <b/>
        <sz val="10"/>
        <rFont val="Arial"/>
        <family val="2"/>
        <charset val="204"/>
      </rPr>
      <t>L-300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</si>
  <si>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ქოლგა 600X600 ვენტილატორით, </t>
    </r>
    <r>
      <rPr>
        <sz val="10"/>
        <rFont val="Arial"/>
        <family val="2"/>
        <charset val="204"/>
      </rPr>
      <t>L-300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</si>
  <si>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b/>
        <sz val="10"/>
        <rFont val="Arial"/>
        <family val="2"/>
        <charset val="204"/>
      </rPr>
      <t>L-200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</si>
  <si>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sz val="10"/>
        <rFont val="Arial"/>
        <family val="2"/>
        <charset val="204"/>
      </rPr>
      <t>L-200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</si>
  <si>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rPr>
        <sz val="11"/>
        <rFont val="AcadNusx"/>
      </rPr>
      <t xml:space="preserve">ფულადის მოთუთიებული ჰაერსატარი </t>
    </r>
    <r>
      <rPr>
        <sz val="11"/>
        <rFont val="Acad m"/>
      </rPr>
      <t>d=0,55mm</t>
    </r>
  </si>
  <si>
    <t>დიფუზორების მონტაჟი დიამეტრით 150მმ</t>
  </si>
  <si>
    <t>სადრენაჟო მილსადენი პლასტმასის მილებისაგან დ-25 მმ</t>
  </si>
  <si>
    <t xml:space="preserve">  დიფუზორი  150მმ</t>
  </si>
  <si>
    <r>
      <t xml:space="preserve">პლასტმასის მილი 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</si>
  <si>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t>ლოკალურ-რესურსული ხარჯთაღრიცხვა #2-5</t>
  </si>
  <si>
    <r>
      <t xml:space="preserve">ჰაერსადენების მონტაჟი </t>
    </r>
    <r>
      <rPr>
        <b/>
        <sz val="10"/>
        <rFont val="AcadNusx"/>
      </rPr>
      <t xml:space="preserve">დიამეტრით 150 </t>
    </r>
    <r>
      <rPr>
        <b/>
        <sz val="10"/>
        <rFont val="AcadMtavr"/>
      </rPr>
      <t>მმ-4მ</t>
    </r>
  </si>
  <si>
    <r>
      <t xml:space="preserve">cxaurაა </t>
    </r>
    <r>
      <rPr>
        <sz val="11"/>
        <rFont val="Calibri"/>
        <family val="2"/>
        <charset val="204"/>
      </rPr>
      <t>D150</t>
    </r>
  </si>
  <si>
    <t xml:space="preserve">ცხაურების (გისოსების) მონტაჟი </t>
  </si>
  <si>
    <t>საღებავი წყალემულსიური</t>
  </si>
  <si>
    <r>
      <t>m</t>
    </r>
    <r>
      <rPr>
        <b/>
        <vertAlign val="superscript"/>
        <sz val="10"/>
        <rFont val="AcadNusx"/>
      </rPr>
      <t>3</t>
    </r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</si>
  <si>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10</t>
    </r>
    <r>
      <rPr>
        <sz val="10"/>
        <rFont val="Arial"/>
        <family val="2"/>
        <charset val="204"/>
      </rPr>
      <t>A500c</t>
    </r>
  </si>
  <si>
    <t>კერამოგრანიტის  ფილა ყინვაგამძლეK</t>
  </si>
  <si>
    <t>საწვავის აპარატების ბაქანი</t>
  </si>
  <si>
    <t>საბურღი ჩარხი</t>
  </si>
  <si>
    <t xml:space="preserve"> ანკერებისთვის ხვრეტების მოწყობა</t>
  </si>
  <si>
    <t xml:space="preserve">ბურღები წრიული ალმასის დ-10მმ </t>
  </si>
  <si>
    <t>ქიმიური ანკერი (dasaWixni masala    310ml</t>
  </si>
  <si>
    <r>
      <t xml:space="preserve">არმატურა  </t>
    </r>
    <r>
      <rPr>
        <sz val="10"/>
        <rFont val="Calibri"/>
        <family val="2"/>
      </rPr>
      <t>Φ6A240c</t>
    </r>
  </si>
  <si>
    <t>მონოლითური რკინაბეტონის ფილის მოწყობა  სისქით  20სმ</t>
  </si>
  <si>
    <t>საწვავის აპარატების ბაქნის  მოპირკეთება კერამოგრანიტით</t>
  </si>
  <si>
    <t>საწვავის აპარატების ბაქნის  იატაკის მოჭიმვა ქვიშა-ცემენტის ხსნარით სისქით 40მმ</t>
  </si>
  <si>
    <t>საწყობი</t>
  </si>
  <si>
    <r>
      <t>ბეტონის მომზადება საძირკვლის ქვეშ ქვეშ , ბეტონი</t>
    </r>
    <r>
      <rPr>
        <b/>
        <sz val="10"/>
        <rFont val="Arial"/>
        <family val="2"/>
        <charset val="204"/>
      </rPr>
      <t xml:space="preserve">  B-15</t>
    </r>
  </si>
  <si>
    <t>საძირკვლის ქვეშ საფუძვლის მოწყობა მდინარის ხვინჭით (ბალასტით)</t>
  </si>
  <si>
    <t>ზოლოვანი საძირკვლების მოწყობა</t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</si>
  <si>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12</t>
    </r>
    <r>
      <rPr>
        <sz val="10"/>
        <rFont val="Arial"/>
        <family val="2"/>
        <charset val="204"/>
      </rPr>
      <t>A500c</t>
    </r>
  </si>
  <si>
    <t>საძირკვლების იზოლაცია ორი ფენა ბიტუმის მასტიკით</t>
  </si>
  <si>
    <t>პრაიმერი-მასტიკა  ბიტუმის</t>
  </si>
  <si>
    <r>
      <t>მ</t>
    </r>
    <r>
      <rPr>
        <vertAlign val="superscript"/>
        <sz val="10"/>
        <color theme="1"/>
        <rFont val="AcadNusx"/>
      </rPr>
      <t>3</t>
    </r>
  </si>
  <si>
    <t>ღორღის   საფუძვლის   მოწყობა იატაკის ქვეშ, სისქით 10სმ</t>
  </si>
  <si>
    <r>
      <t xml:space="preserve">არმატურა </t>
    </r>
    <r>
      <rPr>
        <sz val="10"/>
        <rFont val="Calibri"/>
        <family val="2"/>
        <charset val="204"/>
      </rPr>
      <t>Ø</t>
    </r>
    <r>
      <rPr>
        <sz val="10"/>
        <rFont val="Calibri"/>
        <family val="2"/>
        <charset val="204"/>
        <scheme val="minor"/>
      </rPr>
      <t>8 A500c</t>
    </r>
  </si>
  <si>
    <t>ბეტონის იატაკი  სისქით 10 სმ</t>
  </si>
  <si>
    <t>liTonkonstruqciebis montaJi</t>
  </si>
  <si>
    <t>tona</t>
  </si>
  <si>
    <t>kg</t>
  </si>
  <si>
    <t>eleqtrodi</t>
  </si>
  <si>
    <t>პროფილური მილი 80X4</t>
  </si>
  <si>
    <t>პროფილური მილი 50X3</t>
  </si>
  <si>
    <t>პროფილური მილი 50X25X2</t>
  </si>
  <si>
    <t>ფოლადის ფურცელი 4მმ</t>
  </si>
  <si>
    <t>ფოლადის ფურცელი 6მმ</t>
  </si>
  <si>
    <t xml:space="preserve">kedlebze sendviC-panelebis mowyoba </t>
  </si>
  <si>
    <t xml:space="preserve"> sendviC-panelebis gadaxurvis mowyoba </t>
  </si>
  <si>
    <t>საწყობში იატაკის მოჭიმვა ქვიშა-ცემენტის ხსნარით სისქით 40მმ</t>
  </si>
  <si>
    <t xml:space="preserve">საწყობში იატაკების მოწყობა კერამოგრანიტის ფილებით </t>
  </si>
  <si>
    <t>საძირკვლის ქვეშ მიწის დამუშავება ხელით III ჯგუფის გრუნტებში</t>
  </si>
  <si>
    <t>ღობის საძირკვლის ქვეშ მიწის დამუშავება ხელით III ჯგუფის გრუნტებში</t>
  </si>
  <si>
    <t>ღობის საძირკვლის ქვეშ საფუძვლის მოწყობა მდინარის ხვინჭით (ბალასტით)</t>
  </si>
  <si>
    <t>პროფილური მილი 50X50X3-</t>
  </si>
  <si>
    <t>პროფილური მილი 50X40X3-</t>
  </si>
  <si>
    <t>ფოლადის ფურცელი 10მმ</t>
  </si>
  <si>
    <t>საყრდენი კედლის ქვეშ მიწის დამუშავება ხელით III ჯგუფის გრუნტებში</t>
  </si>
  <si>
    <t>საყრდენი კედლის ქვეშ საფუძვლის მოწყობა მდინარის ხვინჭით (ბალასტით)</t>
  </si>
  <si>
    <r>
      <t>ბეტონის მომზადება საყრდენი კედლის  ქვეშ , ბეტონი</t>
    </r>
    <r>
      <rPr>
        <b/>
        <sz val="10"/>
        <rFont val="Arial"/>
        <family val="2"/>
        <charset val="204"/>
      </rPr>
      <t xml:space="preserve">  B-15</t>
    </r>
  </si>
  <si>
    <t xml:space="preserve"> იზოლაცია ორი ფენა ბიტუმის მასტიკით</t>
  </si>
  <si>
    <t>მონოლითური რკინაბეტონის  კიბის  მოწყობა</t>
  </si>
  <si>
    <t>კიბის მონოლითური რკინაბეტონის  კედლის მოწყობა</t>
  </si>
  <si>
    <t>კიბის ძირის  ჰიდროიზოლაცია პოლიეთილენის ფირით</t>
  </si>
  <si>
    <t>პოლიეთილენის ჰიდროსაიზოლაციო ფირი</t>
  </si>
  <si>
    <t>არსებული  ნათალი ქვის კედლის გაძლიერება  რკინაბეტონის პერანგით</t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</si>
  <si>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8</t>
    </r>
    <r>
      <rPr>
        <sz val="10"/>
        <rFont val="Arial"/>
        <family val="2"/>
        <charset val="204"/>
      </rPr>
      <t>A500c</t>
    </r>
  </si>
  <si>
    <t>არსებული  ნათალი ქვის კედლის გაძლიერების ანკერებისთვის ხვრეტების მოწყობა</t>
  </si>
  <si>
    <t>ლურსმანი</t>
  </si>
  <si>
    <t>საყალიბე ფარი (ლამინირებული ფანერა)</t>
  </si>
  <si>
    <t>საანკერო ჭანჭიკების ჩაყენება</t>
  </si>
  <si>
    <t>საანკერო ჭანჭიკები M10</t>
  </si>
  <si>
    <t>sendviC paneli 50mm (kompleqti)</t>
  </si>
  <si>
    <t>სახურავის ბურულის მოწყობა  პროფფენილით</t>
  </si>
  <si>
    <t xml:space="preserve">ალუმინის კარების   მონტაჟი  </t>
  </si>
  <si>
    <t>ალუმინის კარები,  შავი ფერის.</t>
  </si>
  <si>
    <t xml:space="preserve">ალუმინის სარკმელის   მონტაჟი  </t>
  </si>
  <si>
    <t>ალუმინის სარკმელი,  შავი ფერის.</t>
  </si>
  <si>
    <t>ლითონის ჭა</t>
  </si>
  <si>
    <t>ფარდულზე გალფის საფირმო პანელების    დემონტაჟი</t>
  </si>
  <si>
    <t>სანგრევი ჩაქუჩები</t>
  </si>
  <si>
    <t>კომპრესორი</t>
  </si>
  <si>
    <t>უნიტაზის დემონტაჟი</t>
  </si>
  <si>
    <t>პირსაბნის დემონტაჟი</t>
  </si>
  <si>
    <t>ქვიშა-ცემენტის ხსნარი  1:2</t>
  </si>
  <si>
    <t xml:space="preserve"> გალფის საფირმო პანელების    დემონტაჟი</t>
  </si>
  <si>
    <t>რეისი</t>
  </si>
  <si>
    <t>გალვანიზირებული პროფილირებული თუნუქი 0.7მმ</t>
  </si>
  <si>
    <t>სატრანსპორტო ხარჯები</t>
  </si>
  <si>
    <t>ნავთობდამჭერი ჭების მონტაჟი</t>
  </si>
  <si>
    <r>
      <t xml:space="preserve"> მ</t>
    </r>
    <r>
      <rPr>
        <b/>
        <vertAlign val="superscript"/>
        <sz val="10"/>
        <rFont val="AcadNusx"/>
      </rPr>
      <t>3</t>
    </r>
  </si>
  <si>
    <t>ექსკავატორი 0,25</t>
  </si>
  <si>
    <t>გრუნტის დამუშავება ხელით</t>
  </si>
  <si>
    <t>ქვიშის საფუძვლის მოწყობა</t>
  </si>
  <si>
    <r>
      <t xml:space="preserve"> m</t>
    </r>
    <r>
      <rPr>
        <vertAlign val="superscript"/>
        <sz val="10"/>
        <rFont val="AcadNusx"/>
      </rPr>
      <t>3</t>
    </r>
  </si>
  <si>
    <t>პენოპლასტი 25მმ</t>
  </si>
  <si>
    <t>შიგა წალმომარაგება და კანალიზაცია</t>
  </si>
  <si>
    <t>გარე  ქსელები</t>
  </si>
  <si>
    <t xml:space="preserve"> წყალკანალიზაციის გარე სამუშაოები</t>
  </si>
  <si>
    <t>აგს ,,ორხევი"</t>
  </si>
  <si>
    <t>ლოკალურ-რესურსული ხარჯთაღრიცხვა #2-3</t>
  </si>
  <si>
    <t>ღობის ლითონის  კონსტრუქციების მონტაჟი</t>
  </si>
  <si>
    <t>ღობის   მოპირკეთება  ბეტოპანის ფილებით</t>
  </si>
  <si>
    <t>ბეტოპანის ფილები 10მმ</t>
  </si>
  <si>
    <t>ეზო</t>
  </si>
  <si>
    <t>ლრხ. #2-6</t>
  </si>
  <si>
    <t>ლოკალურ-რესურსული ხარჯთაღრიცხვა #2-6</t>
  </si>
  <si>
    <t>ლოკალურ-რესურსული ხარჯთაღრიცხვა #2-1</t>
  </si>
  <si>
    <t>ლრხ. #2-1</t>
  </si>
  <si>
    <t>ლრხ. #2-2</t>
  </si>
  <si>
    <t>ლრხ. #2-3</t>
  </si>
  <si>
    <t>ლრხ. #2-4</t>
  </si>
  <si>
    <t>ლრხ. #2-5</t>
  </si>
  <si>
    <t>საღებავი  ლითონის  მაღალი ხარისხის</t>
  </si>
  <si>
    <t>ბაქნის გარშემო ლითონის ღარის  მოწყობა</t>
  </si>
  <si>
    <t>შველერი №12   -20მ</t>
  </si>
  <si>
    <t>ლითონის ცხაური-20მ</t>
  </si>
  <si>
    <t>ლითონის ფურცლის და ღარის ელემენტების  შეღებვა მაღალი ხარისხის საღებავით</t>
  </si>
  <si>
    <t>დემონტირებული  ნაკეთობების ტრანსპორტირება  ,,ეკო~-ს ბაზაში</t>
  </si>
  <si>
    <t>ავტოტრანსპორტი</t>
  </si>
  <si>
    <t>დამკვეთის შესრულება</t>
  </si>
  <si>
    <t>რეზერვუარების ყელებზე ლითონის ჭების მოწყობა  სახურავით-4 ცალი</t>
  </si>
  <si>
    <t>თუნუქის ფურცელი 0.7</t>
  </si>
  <si>
    <t xml:space="preserve">სამშენებლო ნაგავის გატანა ნაგავსაყრელზე </t>
  </si>
  <si>
    <t>სამშენებლო ნაგვის დატვირთვა ავტოთვითმცლელებზე  დამტვირთველით</t>
  </si>
  <si>
    <t>დემონტირებული  ნაკეთობების დატვირთვა სატრანსპორტო საშუალებებზე  ხელით</t>
  </si>
  <si>
    <t>მაღაზიაში  კედლების მოპირკეთება აგურით</t>
  </si>
  <si>
    <t xml:space="preserve"> მანქანები</t>
  </si>
  <si>
    <t>გალფის საფირმო პანელების მონტაჟი</t>
  </si>
  <si>
    <t xml:space="preserve">საღებავი  ფასადის </t>
  </si>
  <si>
    <t>გრუნტოვკა</t>
  </si>
  <si>
    <t>სანკვანძის ჭერის მოწყობა ნესტგამძლე თაბაშირმუყაოს ფილებისაგან</t>
  </si>
  <si>
    <t>ფანჯრის ღიობის   (0.75X1მ)ამოშენება წვრილი სამშენებლო ბლოკით</t>
  </si>
  <si>
    <t>ალუმინის პროფილის ვიტრაჟი,  შავი ფერის. (2.9X2.8)მ</t>
  </si>
  <si>
    <r>
      <t>ბეტონის მომზადება გასაფართოებელი და გასაერთიანებელი ბაქნების  ქვეშ , ბეტონი</t>
    </r>
    <r>
      <rPr>
        <b/>
        <sz val="10"/>
        <rFont val="Arial"/>
        <family val="2"/>
        <charset val="204"/>
      </rPr>
      <t xml:space="preserve">  B-15</t>
    </r>
  </si>
  <si>
    <t>სანკვანძის თაბაშირმუყაოს ჭერის შეღებვა</t>
  </si>
  <si>
    <t>იატაკის  კერამოგრანიტის საფარის დემონტაჟი</t>
  </si>
  <si>
    <t>სარეზერვუარი პარკის მოხრეშვა სისქით 20სმ</t>
  </si>
  <si>
    <r>
      <t>ბეტონის მომზადება საძირკვლის ქვეშ , ბეტონი</t>
    </r>
    <r>
      <rPr>
        <b/>
        <sz val="10"/>
        <rFont val="Arial"/>
        <family val="2"/>
        <charset val="204"/>
      </rPr>
      <t xml:space="preserve">  B-15</t>
    </r>
  </si>
  <si>
    <t>ბეტოპანის ღობე</t>
  </si>
  <si>
    <t>ბენზინმზიდის გასაჩერებელი ადგილის შევსება ხრეშით,  სისქით 20 სმ</t>
  </si>
  <si>
    <t xml:space="preserve"> სანკვანძის კედლების მოპიrკეთება კერამოგრანიტის ფილებით</t>
  </si>
  <si>
    <t xml:space="preserve">სანკვანძის იატაკების მოწყობა კერამოგრანიტის ფილებით </t>
  </si>
  <si>
    <t>მეხამრიდების დემონტაჟი</t>
  </si>
  <si>
    <t>საწვავის საწრეტი ღარების დემონტაჟი</t>
  </si>
  <si>
    <t>ასასვლელის საყრდენი კედელი</t>
  </si>
  <si>
    <t>საყრდენი კედლის   შელესვა ქვიშა-ცემენტის ხსნარით</t>
  </si>
  <si>
    <r>
      <t>m</t>
    </r>
    <r>
      <rPr>
        <vertAlign val="superscript"/>
        <sz val="10"/>
        <color indexed="8"/>
        <rFont val="AcadNusx"/>
      </rPr>
      <t>2</t>
    </r>
  </si>
  <si>
    <r>
      <t>მ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</si>
  <si>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sz val="10"/>
        <color indexed="8"/>
        <rFont val="Arial"/>
        <family val="2"/>
      </rPr>
      <t xml:space="preserve">CD </t>
    </r>
    <r>
      <rPr>
        <sz val="10"/>
        <color indexed="8"/>
        <rFont val="AcadNusx"/>
      </rPr>
      <t>profili 27/60/27/0.6</t>
    </r>
  </si>
  <si>
    <t>gr.m</t>
  </si>
  <si>
    <t>UD კნაუფის ჭერის მიმმართველი პროფილი 27/28/27/0.6</t>
  </si>
  <si>
    <t>CD პრ პირდ საკიდი 12სმ</t>
  </si>
  <si>
    <t xml:space="preserve">გამჭედი დუბელი `კ`6*35 </t>
  </si>
  <si>
    <t xml:space="preserve">შურუპი თვითმჭრელი ((LN9) </t>
  </si>
  <si>
    <t>საიზოლაციო ლენტი პროფილებისათვის PE 75 25მ</t>
  </si>
  <si>
    <t>,, გალფის"   ავტოგასამართი სადგურის სარეკონსტრუქციო სამუშაოები</t>
  </si>
  <si>
    <t>დამტვირთველი</t>
  </si>
  <si>
    <t>,, გალფის"   ავტოგასამართი სადგური  ,, orxevi~-is სარეკონსტრუქციო სამუშაოების</t>
  </si>
  <si>
    <t>დროებითი ღობე და  უსაფრთხოების სხვაღონისძიებები 1.5%</t>
  </si>
  <si>
    <t>შეკიდული ჭერის მოწყობა ალუმინის პანელებისაგან</t>
  </si>
  <si>
    <t>ბაქნის გარშემო ლითონის  1მმ ფურცლის შემოკვრა</t>
  </si>
  <si>
    <t>ლითონის ფურცელი 1მმ (17X0.3)</t>
  </si>
  <si>
    <t>ხელსაბანის სიფონი</t>
  </si>
  <si>
    <t>ვენტილი  1/2 90 გრადუსის</t>
  </si>
  <si>
    <t>უნიტაზის გოფრირებული მილი</t>
  </si>
  <si>
    <r>
      <t xml:space="preserve">ნავთობის კასრი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>400  H400</t>
    </r>
  </si>
  <si>
    <t>სამკაპი 110/110/110</t>
  </si>
  <si>
    <t>krebsiTi სახარჯთაღრიცხვო გაანგარიშება #2</t>
  </si>
  <si>
    <t>მან.ცვლა</t>
  </si>
  <si>
    <r>
      <t>მე-III ჯგუფის გრუნტის დამუშავება 0.25მ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>-იანი ექსკავატორით, ნაყარში დატოვებით, შემდგომში  უკუჩაყრით</t>
    </r>
  </si>
  <si>
    <t>აგური მოსაპირკეთებელი თელავის</t>
  </si>
  <si>
    <t xml:space="preserve">კნაუფის ნესტგამძლე  თაბაშირ–მუყაოს ფილა 2500*1200*12.5 </t>
  </si>
  <si>
    <t>ამსტრონგის ჭერის შეღებვა შავად</t>
  </si>
  <si>
    <t>წყალმზომის  მონოლითური რკინაბეტონის ჭის მოწყობა</t>
  </si>
  <si>
    <t>ლუქი თუჯის</t>
  </si>
  <si>
    <t>ალუკობონდის პანელების  დემონტაჟი</t>
  </si>
  <si>
    <t>ფასადის კედლების ,,დაშხეფვა~ ქვიშა-ცემენტის ხსნარით</t>
  </si>
  <si>
    <r>
      <t>m</t>
    </r>
    <r>
      <rPr>
        <b/>
        <vertAlign val="superscript"/>
        <sz val="9"/>
        <color indexed="8"/>
        <rFont val="AcadNusx"/>
      </rPr>
      <t>2</t>
    </r>
  </si>
  <si>
    <t>ცემენტი</t>
  </si>
  <si>
    <r>
      <t>m</t>
    </r>
    <r>
      <rPr>
        <vertAlign val="superscript"/>
        <sz val="9"/>
        <color indexed="8"/>
        <rFont val="AcadNusx"/>
      </rPr>
      <t>3</t>
    </r>
  </si>
  <si>
    <t>წებო  პვა</t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</si>
  <si>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Seranova CEMENT ANTRACIT 60X60)</t>
    </r>
  </si>
  <si>
    <t>არსებული სტელის  დემონტაჟი</t>
  </si>
  <si>
    <t xml:space="preserve"> საოპერატოროს და სანკვანძის კედლებზე ნალესის  მოხსნა</t>
  </si>
  <si>
    <t xml:space="preserve"> ფასადის  კედლებზე ნალესის  მოხსნა</t>
  </si>
  <si>
    <t xml:space="preserve">ფასადის  კედლების  შეღებვა </t>
  </si>
  <si>
    <t xml:space="preserve">საყრდენი კედლების    შეღებვა </t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</si>
  <si>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Nordic Gold GS-D3650/15X60)</t>
    </r>
  </si>
  <si>
    <r>
      <t>კერამოგრანიტის  ფილა</t>
    </r>
    <r>
      <rPr>
        <sz val="10"/>
        <rFont val="Arial"/>
        <family val="2"/>
        <charset val="204"/>
      </rPr>
      <t xml:space="preserve">  (ბრენდი:Seranova Rapsody White/30X60K)</t>
    </r>
  </si>
  <si>
    <t xml:space="preserve">სანკვანძში    კარების მონტაჟი   </t>
  </si>
  <si>
    <t>მდფ-ის კარები (0.83X1.85)მ-შპს ,,იფანი"</t>
  </si>
  <si>
    <t>საწყობის  ჭერის მოწყობა ცეცხლგამძლე თაბაშირმუყაოს ფილებისაგან</t>
  </si>
  <si>
    <t xml:space="preserve">ცეცხლგამძლე  კნაუფის თაბაშირ–მუყაოს ფილა 2500*1200*12.5 </t>
  </si>
  <si>
    <t>საწყობის თაბაშირმუყაოს ჭერის შეღებვა</t>
  </si>
  <si>
    <t>ავტობაქანი</t>
  </si>
  <si>
    <t>ავტოამწე   16ტ</t>
  </si>
  <si>
    <t>წყალსაწრეტი ღარები  დ-120მმ</t>
  </si>
  <si>
    <t>წყალსაწრეტი მილები დ-100 მმ</t>
  </si>
  <si>
    <t>ქურო</t>
  </si>
  <si>
    <t>ღარების შემაერთებელი</t>
  </si>
  <si>
    <t>ძაბრი</t>
  </si>
  <si>
    <t>საცობი ღარის</t>
  </si>
  <si>
    <r>
      <t>ხელსაბნის შემრევი</t>
    </r>
    <r>
      <rPr>
        <sz val="10"/>
        <rFont val="Arial"/>
        <family val="2"/>
        <charset val="204"/>
      </rPr>
      <t xml:space="preserve"> Hansgrohe
Logis Loop 70 71150000</t>
    </r>
  </si>
  <si>
    <t>ელექტრო წყალტევადობითი გამაცხელებელი   Ariston - PRO1 R 80L</t>
  </si>
  <si>
    <r>
      <t xml:space="preserve">უნიტაზი  </t>
    </r>
    <r>
      <rPr>
        <sz val="11"/>
        <rFont val="Arial"/>
        <family val="2"/>
        <charset val="204"/>
      </rPr>
      <t>Vitra</t>
    </r>
  </si>
  <si>
    <r>
      <t xml:space="preserve">ხელსაბანი მოკლე ფეხით </t>
    </r>
    <r>
      <rPr>
        <sz val="10"/>
        <rFont val="Arial"/>
        <family val="2"/>
        <charset val="204"/>
      </rPr>
      <t>Vitra</t>
    </r>
  </si>
  <si>
    <t>მილსადენი პ/ე მილებისაგან დ-100 მმ</t>
  </si>
  <si>
    <r>
      <t xml:space="preserve">მილი პ/ე </t>
    </r>
    <r>
      <rPr>
        <sz val="11"/>
        <rFont val="Calibri"/>
        <family val="2"/>
        <charset val="204"/>
      </rPr>
      <t>Ø100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</si>
</sst>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0.0"/>
    <numFmt numFmtId="168" formatCode="0.0000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_(* #,##0.000_);_(* \(#,##0.000\);_(* &quot;-&quot;??_);_(@_)"/>
    <numFmt numFmtId="172" formatCode="#,##0_р_."/>
    <numFmt numFmtId="173" formatCode="#,##0.000"/>
    <numFmt numFmtId="174" formatCode="0.00000"/>
    <numFmt numFmtId="175" formatCode="#,##0.00_р_."/>
    <numFmt numFmtId="176" formatCode="0.0%"/>
    <numFmt numFmtId="177" formatCode="_(* #,##0_);_(* \(#,##0\);_(* &quot;-&quot;??_);_(@_)"/>
    <numFmt numFmtId="178" formatCode="#,##0.000_р_."/>
    <numFmt numFmtId="179" formatCode="#,##0.0000_р_."/>
  </numFmts>
  <fonts count="116">
    <font>
      <sz val="11"/>
      <color theme="1"/>
      <name val="Calibri"/>
      <charset val="134"/>
      <scheme val="minor"/>
    </font>
    <font>
      <sz val="10"/>
      <name val="Helv"/>
      <charset val="13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cadNusx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0"/>
      <color rgb="FFFF0000"/>
      <name val="Arial"/>
      <family val="2"/>
      <charset val="204"/>
    </font>
    <font>
      <b/>
      <sz val="12"/>
      <name val="AcadNusx"/>
    </font>
    <font>
      <b/>
      <sz val="14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cadNusx"/>
    </font>
    <font>
      <sz val="10"/>
      <name val="Arial Cyr"/>
      <charset val="204"/>
    </font>
    <font>
      <sz val="10"/>
      <name val="Calibri"/>
      <family val="2"/>
      <charset val="204"/>
    </font>
    <font>
      <sz val="11"/>
      <name val="Sylfaen"/>
      <family val="1"/>
      <charset val="204"/>
    </font>
    <font>
      <sz val="10"/>
      <color rgb="FFFF0000"/>
      <name val="AcadNusx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cadNusx"/>
    </font>
    <font>
      <sz val="11"/>
      <color rgb="FFFF0000"/>
      <name val="AcadNusx"/>
    </font>
    <font>
      <b/>
      <sz val="11"/>
      <name val="Avaza Mtavruli"/>
      <family val="2"/>
    </font>
    <font>
      <sz val="11"/>
      <name val="Avaza Mtavruli"/>
      <family val="2"/>
    </font>
    <font>
      <sz val="10"/>
      <name val="Avaza Mtavruli"/>
      <family val="2"/>
    </font>
    <font>
      <sz val="14"/>
      <name val="AcadNusx"/>
    </font>
    <font>
      <b/>
      <sz val="10"/>
      <name val="Avaza Mtavruli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cadMtavr"/>
    </font>
    <font>
      <sz val="10"/>
      <color theme="1"/>
      <name val="AcadNusx"/>
    </font>
    <font>
      <i/>
      <sz val="10"/>
      <name val="AcadNusx"/>
    </font>
    <font>
      <sz val="12"/>
      <name val="AcadMtavr"/>
    </font>
    <font>
      <sz val="11"/>
      <color rgb="FFFF0000"/>
      <name val="Sylfaen"/>
      <family val="1"/>
      <charset val="204"/>
    </font>
    <font>
      <sz val="12"/>
      <name val="AcadNusx"/>
    </font>
    <font>
      <b/>
      <sz val="10"/>
      <name val="AcadMtavr"/>
    </font>
    <font>
      <sz val="11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0"/>
      <name val="AcadNusx"/>
    </font>
    <font>
      <b/>
      <sz val="11"/>
      <color rgb="FFFF0000"/>
      <name val="AcadNusx"/>
    </font>
    <font>
      <b/>
      <sz val="10"/>
      <name val="Times New Roman"/>
      <family val="1"/>
      <charset val="204"/>
    </font>
    <font>
      <sz val="11"/>
      <color indexed="8"/>
      <name val="AcadNusx"/>
    </font>
    <font>
      <b/>
      <sz val="12"/>
      <color indexed="8"/>
      <name val="AcadNusx"/>
    </font>
    <font>
      <b/>
      <sz val="14"/>
      <color indexed="8"/>
      <name val="AcadNusx"/>
    </font>
    <font>
      <b/>
      <sz val="11"/>
      <color indexed="8"/>
      <name val="AcadNusx"/>
    </font>
    <font>
      <sz val="11"/>
      <color indexed="10"/>
      <name val="AcadNusx"/>
    </font>
    <font>
      <sz val="14"/>
      <color indexed="8"/>
      <name val="AcadNusx"/>
    </font>
    <font>
      <b/>
      <sz val="16"/>
      <color indexed="8"/>
      <name val="AcadNusx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134"/>
    </font>
    <font>
      <sz val="11"/>
      <name val="Times New Roman"/>
      <family val="1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i/>
      <sz val="10"/>
      <name val="Calibri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cadNusx"/>
    </font>
    <font>
      <sz val="11"/>
      <name val="Avaz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002060"/>
      <name val="AcadNusx"/>
    </font>
    <font>
      <sz val="11"/>
      <color theme="1"/>
      <name val="Avaza Mtavruli"/>
      <family val="2"/>
    </font>
    <font>
      <sz val="11"/>
      <color theme="1"/>
      <name val="AcadNusx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cad m"/>
    </font>
    <font>
      <sz val="11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10"/>
      <color theme="1"/>
      <name val="AcadNusx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indexed="8"/>
      <name val="AcadNusx"/>
    </font>
    <font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cadNusx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AcadNusx"/>
    </font>
    <font>
      <b/>
      <sz val="9"/>
      <color theme="1"/>
      <name val="AcadNusx"/>
    </font>
    <font>
      <b/>
      <vertAlign val="superscript"/>
      <sz val="9"/>
      <color indexed="8"/>
      <name val="AcadNusx"/>
    </font>
    <font>
      <sz val="9"/>
      <color theme="1"/>
      <name val="Calibri"/>
      <family val="2"/>
      <scheme val="minor"/>
    </font>
    <font>
      <sz val="9"/>
      <color theme="1"/>
      <name val="AcadNusx"/>
    </font>
    <font>
      <vertAlign val="superscript"/>
      <sz val="9"/>
      <color indexed="8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43" fontId="58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8" fillId="0" borderId="0"/>
    <xf numFmtId="0" fontId="58" fillId="0" borderId="0"/>
    <xf numFmtId="44" fontId="5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8" fillId="0" borderId="0"/>
    <xf numFmtId="170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58" fillId="0" borderId="0"/>
    <xf numFmtId="0" fontId="14" fillId="0" borderId="0"/>
    <xf numFmtId="0" fontId="58" fillId="0" borderId="0"/>
    <xf numFmtId="0" fontId="1" fillId="0" borderId="0"/>
    <xf numFmtId="0" fontId="58" fillId="0" borderId="0"/>
    <xf numFmtId="0" fontId="10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65" fillId="0" borderId="0"/>
    <xf numFmtId="0" fontId="58" fillId="0" borderId="0"/>
    <xf numFmtId="0" fontId="10" fillId="0" borderId="0"/>
    <xf numFmtId="0" fontId="62" fillId="0" borderId="0"/>
    <xf numFmtId="0" fontId="58" fillId="0" borderId="0"/>
    <xf numFmtId="0" fontId="58" fillId="0" borderId="0"/>
    <xf numFmtId="0" fontId="6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0" fillId="0" borderId="0"/>
    <xf numFmtId="0" fontId="14" fillId="0" borderId="0"/>
    <xf numFmtId="0" fontId="58" fillId="0" borderId="0"/>
    <xf numFmtId="0" fontId="66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67" fillId="0" borderId="0"/>
    <xf numFmtId="0" fontId="60" fillId="0" borderId="0"/>
    <xf numFmtId="0" fontId="68" fillId="0" borderId="0"/>
    <xf numFmtId="9" fontId="14" fillId="0" borderId="0" applyFont="0" applyFill="0" applyBorder="0" applyAlignment="0" applyProtection="0"/>
    <xf numFmtId="0" fontId="1" fillId="0" borderId="0"/>
    <xf numFmtId="0" fontId="59" fillId="0" borderId="0"/>
    <xf numFmtId="0" fontId="14" fillId="0" borderId="0"/>
    <xf numFmtId="0" fontId="61" fillId="0" borderId="0"/>
    <xf numFmtId="0" fontId="23" fillId="0" borderId="0"/>
    <xf numFmtId="0" fontId="10" fillId="0" borderId="0"/>
    <xf numFmtId="0" fontId="78" fillId="0" borderId="0"/>
    <xf numFmtId="0" fontId="10" fillId="0" borderId="0"/>
  </cellStyleXfs>
  <cellXfs count="1203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5" fillId="2" borderId="1" xfId="38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4" fillId="2" borderId="0" xfId="25" applyFont="1" applyFill="1" applyAlignment="1">
      <alignment horizontal="left"/>
    </xf>
    <xf numFmtId="0" fontId="2" fillId="2" borderId="0" xfId="25" applyFont="1" applyFill="1"/>
    <xf numFmtId="0" fontId="7" fillId="2" borderId="0" xfId="38" applyFont="1" applyFill="1" applyAlignment="1">
      <alignment horizontal="center" wrapText="1"/>
    </xf>
    <xf numFmtId="0" fontId="7" fillId="2" borderId="0" xfId="38" applyFont="1" applyFill="1" applyAlignment="1">
      <alignment wrapText="1"/>
    </xf>
    <xf numFmtId="0" fontId="14" fillId="2" borderId="0" xfId="25" applyFont="1" applyFill="1"/>
    <xf numFmtId="0" fontId="42" fillId="2" borderId="0" xfId="38" applyFont="1" applyFill="1" applyAlignment="1">
      <alignment horizontal="left" wrapText="1"/>
    </xf>
    <xf numFmtId="173" fontId="7" fillId="2" borderId="0" xfId="38" applyNumberFormat="1" applyFont="1" applyFill="1" applyBorder="1" applyAlignment="1">
      <alignment horizontal="center" wrapText="1"/>
    </xf>
    <xf numFmtId="2" fontId="7" fillId="2" borderId="0" xfId="38" applyNumberFormat="1" applyFont="1" applyFill="1" applyBorder="1" applyAlignment="1">
      <alignment horizontal="center" wrapText="1"/>
    </xf>
    <xf numFmtId="0" fontId="7" fillId="2" borderId="11" xfId="38" applyFont="1" applyFill="1" applyBorder="1" applyAlignment="1">
      <alignment horizontal="right" wrapText="1"/>
    </xf>
    <xf numFmtId="166" fontId="7" fillId="2" borderId="11" xfId="38" applyNumberFormat="1" applyFont="1" applyFill="1" applyBorder="1" applyAlignment="1">
      <alignment horizontal="center" wrapText="1"/>
    </xf>
    <xf numFmtId="2" fontId="7" fillId="2" borderId="11" xfId="38" applyNumberFormat="1" applyFont="1" applyFill="1" applyBorder="1" applyAlignment="1">
      <alignment horizontal="center" wrapText="1"/>
    </xf>
    <xf numFmtId="0" fontId="7" fillId="2" borderId="5" xfId="38" applyFont="1" applyFill="1" applyBorder="1" applyAlignment="1">
      <alignment horizontal="center" wrapText="1"/>
    </xf>
    <xf numFmtId="0" fontId="7" fillId="2" borderId="1" xfId="38" applyFont="1" applyFill="1" applyBorder="1" applyAlignment="1">
      <alignment horizontal="center" wrapText="1"/>
    </xf>
    <xf numFmtId="0" fontId="7" fillId="2" borderId="6" xfId="38" applyFont="1" applyFill="1" applyBorder="1" applyAlignment="1">
      <alignment horizontal="center" wrapText="1"/>
    </xf>
    <xf numFmtId="0" fontId="11" fillId="2" borderId="1" xfId="34" applyFont="1" applyFill="1" applyBorder="1" applyAlignment="1">
      <alignment horizontal="left" vertical="center" wrapText="1"/>
    </xf>
    <xf numFmtId="4" fontId="7" fillId="2" borderId="1" xfId="38" applyNumberFormat="1" applyFont="1" applyFill="1" applyBorder="1" applyAlignment="1">
      <alignment horizontal="center" vertical="center"/>
    </xf>
    <xf numFmtId="4" fontId="7" fillId="2" borderId="1" xfId="38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/>
    <xf numFmtId="0" fontId="2" fillId="0" borderId="0" xfId="34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2" fontId="14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2" fontId="1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55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2" borderId="0" xfId="38" applyFont="1" applyFill="1" applyAlignment="1">
      <alignment vertical="center"/>
    </xf>
    <xf numFmtId="0" fontId="14" fillId="2" borderId="0" xfId="35" applyFont="1" applyFill="1" applyAlignment="1">
      <alignment vertical="center"/>
    </xf>
    <xf numFmtId="0" fontId="11" fillId="2" borderId="6" xfId="34" applyFont="1" applyFill="1" applyBorder="1" applyAlignment="1">
      <alignment horizontal="left" vertical="center" wrapText="1"/>
    </xf>
    <xf numFmtId="0" fontId="15" fillId="2" borderId="1" xfId="38" applyFont="1" applyFill="1" applyBorder="1" applyAlignment="1">
      <alignment vertical="center" wrapText="1"/>
    </xf>
    <xf numFmtId="4" fontId="15" fillId="2" borderId="1" xfId="38" applyNumberFormat="1" applyFont="1" applyFill="1" applyBorder="1" applyAlignment="1">
      <alignment horizontal="center" vertical="center" wrapText="1"/>
    </xf>
    <xf numFmtId="0" fontId="22" fillId="2" borderId="0" xfId="63" applyFont="1" applyFill="1" applyBorder="1"/>
    <xf numFmtId="0" fontId="22" fillId="2" borderId="0" xfId="63" applyFont="1" applyFill="1"/>
    <xf numFmtId="0" fontId="51" fillId="0" borderId="0" xfId="32" applyFont="1" applyAlignment="1">
      <alignment vertical="center"/>
    </xf>
    <xf numFmtId="0" fontId="53" fillId="0" borderId="0" xfId="32" applyFont="1" applyAlignment="1">
      <alignment horizontal="center" vertical="center"/>
    </xf>
    <xf numFmtId="0" fontId="52" fillId="0" borderId="0" xfId="32" applyFont="1" applyAlignment="1">
      <alignment horizontal="center" vertical="center"/>
    </xf>
    <xf numFmtId="4" fontId="54" fillId="0" borderId="0" xfId="32" applyNumberFormat="1" applyFont="1" applyAlignment="1">
      <alignment horizontal="center" vertical="center"/>
    </xf>
    <xf numFmtId="0" fontId="52" fillId="0" borderId="0" xfId="32" applyFont="1" applyAlignment="1">
      <alignment vertical="center"/>
    </xf>
    <xf numFmtId="0" fontId="53" fillId="0" borderId="0" xfId="32" applyFont="1" applyAlignment="1">
      <alignment vertical="center"/>
    </xf>
    <xf numFmtId="0" fontId="29" fillId="0" borderId="0" xfId="32" applyFont="1" applyAlignment="1">
      <alignment vertical="center" wrapText="1"/>
    </xf>
    <xf numFmtId="167" fontId="55" fillId="0" borderId="0" xfId="32" applyNumberFormat="1" applyFont="1" applyAlignment="1">
      <alignment vertical="center"/>
    </xf>
    <xf numFmtId="0" fontId="51" fillId="0" borderId="0" xfId="64" applyFont="1" applyAlignment="1">
      <alignment vertical="center"/>
    </xf>
    <xf numFmtId="0" fontId="51" fillId="0" borderId="0" xfId="64" applyFont="1" applyAlignment="1">
      <alignment horizontal="center" vertical="center"/>
    </xf>
    <xf numFmtId="0" fontId="57" fillId="0" borderId="0" xfId="64" applyFont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44" fillId="0" borderId="1" xfId="0" applyFont="1" applyFill="1" applyBorder="1"/>
    <xf numFmtId="166" fontId="6" fillId="0" borderId="1" xfId="65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15" fillId="0" borderId="1" xfId="35" applyFont="1" applyFill="1" applyBorder="1" applyAlignment="1">
      <alignment horizontal="center"/>
    </xf>
    <xf numFmtId="0" fontId="7" fillId="0" borderId="1" xfId="63" applyFont="1" applyFill="1" applyBorder="1" applyAlignment="1">
      <alignment horizontal="center" vertical="center"/>
    </xf>
    <xf numFmtId="4" fontId="7" fillId="0" borderId="1" xfId="63" applyNumberFormat="1" applyFont="1" applyFill="1" applyBorder="1" applyAlignment="1">
      <alignment horizontal="center" vertical="center" wrapText="1"/>
    </xf>
    <xf numFmtId="4" fontId="15" fillId="0" borderId="1" xfId="63" applyNumberFormat="1" applyFont="1" applyFill="1" applyBorder="1" applyAlignment="1">
      <alignment horizontal="center" vertical="center" wrapText="1"/>
    </xf>
    <xf numFmtId="4" fontId="15" fillId="0" borderId="1" xfId="63" applyNumberFormat="1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left" vertical="center" wrapText="1"/>
    </xf>
    <xf numFmtId="0" fontId="1" fillId="0" borderId="1" xfId="27" applyFont="1" applyFill="1" applyBorder="1" applyAlignment="1">
      <alignment wrapText="1"/>
    </xf>
    <xf numFmtId="0" fontId="7" fillId="0" borderId="1" xfId="6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15" fillId="0" borderId="1" xfId="33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vertical="center" wrapText="1"/>
    </xf>
    <xf numFmtId="0" fontId="7" fillId="0" borderId="1" xfId="33" applyFont="1" applyFill="1" applyBorder="1" applyAlignment="1">
      <alignment horizontal="center" vertical="center" wrapText="1"/>
    </xf>
    <xf numFmtId="0" fontId="7" fillId="0" borderId="1" xfId="33" applyNumberFormat="1" applyFont="1" applyFill="1" applyBorder="1" applyAlignment="1">
      <alignment horizontal="center" vertical="center" wrapText="1"/>
    </xf>
    <xf numFmtId="166" fontId="7" fillId="0" borderId="1" xfId="33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1" xfId="33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0" fontId="15" fillId="0" borderId="1" xfId="25" applyFont="1" applyFill="1" applyBorder="1" applyAlignment="1">
      <alignment horizontal="center" vertical="center" wrapText="1"/>
    </xf>
    <xf numFmtId="2" fontId="7" fillId="0" borderId="1" xfId="25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vertical="center"/>
    </xf>
    <xf numFmtId="0" fontId="7" fillId="0" borderId="1" xfId="33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/>
    </xf>
    <xf numFmtId="166" fontId="7" fillId="0" borderId="1" xfId="55" applyNumberFormat="1" applyFont="1" applyFill="1" applyBorder="1" applyAlignment="1">
      <alignment horizontal="center" vertical="center" wrapText="1"/>
    </xf>
    <xf numFmtId="2" fontId="7" fillId="0" borderId="1" xfId="55" applyNumberFormat="1" applyFont="1" applyFill="1" applyBorder="1" applyAlignment="1">
      <alignment vertical="center"/>
    </xf>
    <xf numFmtId="166" fontId="7" fillId="0" borderId="1" xfId="55" applyNumberFormat="1" applyFont="1" applyFill="1" applyBorder="1" applyAlignment="1">
      <alignment vertical="center"/>
    </xf>
    <xf numFmtId="0" fontId="7" fillId="0" borderId="1" xfId="55" applyNumberFormat="1" applyFont="1" applyFill="1" applyBorder="1" applyAlignment="1">
      <alignment horizontal="center" vertical="center"/>
    </xf>
    <xf numFmtId="166" fontId="7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>
      <alignment vertical="center" wrapText="1"/>
    </xf>
    <xf numFmtId="0" fontId="50" fillId="0" borderId="1" xfId="65" applyNumberFormat="1" applyFont="1" applyFill="1" applyBorder="1" applyAlignment="1">
      <alignment horizontal="center" vertical="center" wrapText="1"/>
    </xf>
    <xf numFmtId="166" fontId="8" fillId="0" borderId="1" xfId="65" applyNumberFormat="1" applyFont="1" applyFill="1" applyBorder="1" applyAlignment="1">
      <alignment horizontal="center" vertical="center" wrapText="1"/>
    </xf>
    <xf numFmtId="2" fontId="8" fillId="0" borderId="1" xfId="6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65" applyNumberFormat="1" applyFont="1" applyFill="1" applyBorder="1" applyAlignment="1">
      <alignment horizontal="center" vertical="center" wrapText="1"/>
    </xf>
    <xf numFmtId="2" fontId="6" fillId="0" borderId="1" xfId="65" applyNumberFormat="1" applyFont="1" applyFill="1" applyBorder="1" applyAlignment="1">
      <alignment horizontal="center" vertical="center" wrapText="1"/>
    </xf>
    <xf numFmtId="0" fontId="15" fillId="0" borderId="1" xfId="65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vertical="center" wrapText="1"/>
    </xf>
    <xf numFmtId="0" fontId="10" fillId="0" borderId="1" xfId="33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166" fontId="6" fillId="0" borderId="1" xfId="0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3" fontId="5" fillId="0" borderId="0" xfId="0" applyNumberFormat="1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35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/>
    <xf numFmtId="0" fontId="1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2" fontId="10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46" applyFont="1" applyFill="1" applyBorder="1" applyAlignment="1">
      <alignment horizontal="center" vertical="center" wrapText="1"/>
    </xf>
    <xf numFmtId="2" fontId="7" fillId="0" borderId="1" xfId="35" applyNumberFormat="1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left" vertical="center" wrapText="1"/>
    </xf>
    <xf numFmtId="0" fontId="7" fillId="0" borderId="1" xfId="35" applyFont="1" applyFill="1" applyBorder="1" applyAlignment="1">
      <alignment horizontal="center"/>
    </xf>
    <xf numFmtId="2" fontId="7" fillId="0" borderId="1" xfId="35" applyNumberFormat="1" applyFont="1" applyFill="1" applyBorder="1" applyAlignment="1">
      <alignment horizontal="center"/>
    </xf>
    <xf numFmtId="0" fontId="47" fillId="0" borderId="1" xfId="0" applyFont="1" applyFill="1" applyBorder="1"/>
    <xf numFmtId="0" fontId="10" fillId="0" borderId="1" xfId="0" applyFont="1" applyFill="1" applyBorder="1"/>
    <xf numFmtId="0" fontId="32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36" applyFont="1" applyFill="1" applyBorder="1" applyAlignment="1">
      <alignment horizontal="center" vertical="center"/>
    </xf>
    <xf numFmtId="0" fontId="7" fillId="0" borderId="1" xfId="25" applyFont="1" applyFill="1" applyBorder="1" applyAlignment="1">
      <alignment vertical="center"/>
    </xf>
    <xf numFmtId="0" fontId="7" fillId="0" borderId="1" xfId="25" applyFont="1" applyFill="1" applyBorder="1" applyAlignment="1">
      <alignment horizontal="center" vertical="center"/>
    </xf>
    <xf numFmtId="168" fontId="7" fillId="0" borderId="1" xfId="35" applyNumberFormat="1" applyFont="1" applyFill="1" applyBorder="1" applyAlignment="1">
      <alignment horizontal="center"/>
    </xf>
    <xf numFmtId="0" fontId="10" fillId="0" borderId="1" xfId="35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5" fillId="0" borderId="0" xfId="0" applyFont="1" applyFill="1"/>
    <xf numFmtId="0" fontId="11" fillId="0" borderId="0" xfId="0" applyFont="1" applyFill="1" applyAlignment="1">
      <alignment horizontal="center" vertical="center"/>
    </xf>
    <xf numFmtId="0" fontId="6" fillId="0" borderId="0" xfId="0" applyFont="1" applyFill="1"/>
    <xf numFmtId="0" fontId="8" fillId="0" borderId="0" xfId="0" applyFont="1" applyFill="1"/>
    <xf numFmtId="0" fontId="37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3" fontId="11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0" fontId="7" fillId="0" borderId="5" xfId="23" applyFont="1" applyFill="1" applyBorder="1" applyAlignment="1">
      <alignment horizontal="center" vertical="center"/>
    </xf>
    <xf numFmtId="2" fontId="7" fillId="0" borderId="6" xfId="4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1" xfId="65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7" fillId="0" borderId="0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/>
    </xf>
    <xf numFmtId="43" fontId="14" fillId="0" borderId="0" xfId="1" applyFont="1" applyFill="1" applyBorder="1" applyAlignment="1">
      <alignment vertical="center" wrapText="1"/>
    </xf>
    <xf numFmtId="43" fontId="14" fillId="0" borderId="0" xfId="1" applyFont="1" applyFill="1" applyAlignment="1">
      <alignment vertical="center" wrapText="1"/>
    </xf>
    <xf numFmtId="43" fontId="7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0" xfId="1" applyFont="1" applyFill="1" applyAlignment="1">
      <alignment vertical="center" wrapText="1"/>
    </xf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Alignment="1">
      <alignment vertical="center" wrapText="1"/>
    </xf>
    <xf numFmtId="43" fontId="7" fillId="0" borderId="0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5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38" applyFont="1" applyFill="1" applyAlignment="1">
      <alignment vertical="center"/>
    </xf>
    <xf numFmtId="0" fontId="14" fillId="0" borderId="0" xfId="35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" fillId="0" borderId="0" xfId="34" applyFont="1" applyFill="1" applyAlignment="1">
      <alignment horizontal="center" vertical="center" wrapText="1"/>
    </xf>
    <xf numFmtId="0" fontId="46" fillId="0" borderId="0" xfId="0" applyFont="1" applyFill="1"/>
    <xf numFmtId="0" fontId="11" fillId="0" borderId="0" xfId="34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0" xfId="38" applyFont="1" applyFill="1" applyAlignment="1">
      <alignment wrapText="1"/>
    </xf>
    <xf numFmtId="0" fontId="7" fillId="0" borderId="1" xfId="38" applyFont="1" applyFill="1" applyBorder="1" applyAlignment="1">
      <alignment horizontal="center" wrapText="1"/>
    </xf>
    <xf numFmtId="0" fontId="15" fillId="0" borderId="1" xfId="38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73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5" fillId="3" borderId="1" xfId="33" applyFont="1" applyFill="1" applyBorder="1" applyAlignment="1">
      <alignment vertical="center" wrapText="1"/>
    </xf>
    <xf numFmtId="0" fontId="15" fillId="3" borderId="1" xfId="33" applyNumberFormat="1" applyFont="1" applyFill="1" applyBorder="1" applyAlignment="1">
      <alignment horizontal="center" vertical="center" wrapText="1"/>
    </xf>
    <xf numFmtId="166" fontId="15" fillId="3" borderId="1" xfId="33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49" fontId="15" fillId="3" borderId="1" xfId="0" applyNumberFormat="1" applyFont="1" applyFill="1" applyBorder="1" applyAlignment="1">
      <alignment vertical="center" wrapText="1"/>
    </xf>
    <xf numFmtId="0" fontId="15" fillId="3" borderId="1" xfId="35" applyFont="1" applyFill="1" applyBorder="1" applyAlignment="1">
      <alignment horizontal="center" vertical="center"/>
    </xf>
    <xf numFmtId="0" fontId="15" fillId="3" borderId="1" xfId="35" applyFont="1" applyFill="1" applyBorder="1" applyAlignment="1">
      <alignment horizontal="left" vertical="center" wrapText="1"/>
    </xf>
    <xf numFmtId="0" fontId="15" fillId="3" borderId="1" xfId="35" applyFont="1" applyFill="1" applyBorder="1" applyAlignment="1">
      <alignment horizontal="center" vertical="center" wrapText="1"/>
    </xf>
    <xf numFmtId="2" fontId="15" fillId="3" borderId="1" xfId="35" applyNumberFormat="1" applyFont="1" applyFill="1" applyBorder="1" applyAlignment="1">
      <alignment horizontal="center" vertical="center"/>
    </xf>
    <xf numFmtId="2" fontId="15" fillId="3" borderId="1" xfId="35" applyNumberFormat="1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 wrapText="1"/>
    </xf>
    <xf numFmtId="0" fontId="15" fillId="3" borderId="1" xfId="35" applyFont="1" applyFill="1" applyBorder="1" applyAlignment="1">
      <alignment vertical="center" wrapText="1"/>
    </xf>
    <xf numFmtId="0" fontId="15" fillId="3" borderId="1" xfId="35" applyFont="1" applyFill="1" applyBorder="1" applyAlignment="1">
      <alignment horizontal="center"/>
    </xf>
    <xf numFmtId="2" fontId="15" fillId="3" borderId="1" xfId="35" applyNumberFormat="1" applyFont="1" applyFill="1" applyBorder="1" applyAlignment="1">
      <alignment horizontal="center"/>
    </xf>
    <xf numFmtId="0" fontId="15" fillId="3" borderId="1" xfId="46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center" vertical="center" wrapText="1"/>
    </xf>
    <xf numFmtId="0" fontId="2" fillId="3" borderId="1" xfId="34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36" fillId="3" borderId="1" xfId="0" applyNumberFormat="1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1" fontId="2" fillId="3" borderId="1" xfId="34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>
      <alignment horizontal="center"/>
    </xf>
    <xf numFmtId="2" fontId="15" fillId="3" borderId="1" xfId="34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3" fontId="15" fillId="4" borderId="7" xfId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19" fillId="0" borderId="1" xfId="33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15" fillId="0" borderId="14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center" vertical="center"/>
    </xf>
    <xf numFmtId="2" fontId="7" fillId="0" borderId="14" xfId="25" applyNumberFormat="1" applyFont="1" applyFill="1" applyBorder="1" applyAlignment="1">
      <alignment horizontal="center" vertical="center" wrapText="1"/>
    </xf>
    <xf numFmtId="0" fontId="15" fillId="0" borderId="14" xfId="25" applyFont="1" applyFill="1" applyBorder="1"/>
    <xf numFmtId="2" fontId="7" fillId="0" borderId="14" xfId="25" applyNumberFormat="1" applyFont="1" applyFill="1" applyBorder="1" applyAlignment="1">
      <alignment horizontal="center" vertical="center"/>
    </xf>
    <xf numFmtId="0" fontId="77" fillId="2" borderId="0" xfId="0" applyFont="1" applyFill="1"/>
    <xf numFmtId="0" fontId="11" fillId="0" borderId="0" xfId="0" applyFont="1" applyFill="1"/>
    <xf numFmtId="0" fontId="78" fillId="0" borderId="0" xfId="0" applyFont="1" applyFill="1"/>
    <xf numFmtId="2" fontId="15" fillId="3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vertical="center" wrapText="1"/>
    </xf>
    <xf numFmtId="0" fontId="77" fillId="0" borderId="0" xfId="0" applyFont="1" applyFill="1"/>
    <xf numFmtId="0" fontId="80" fillId="2" borderId="0" xfId="0" applyFont="1" applyFill="1"/>
    <xf numFmtId="0" fontId="7" fillId="0" borderId="14" xfId="0" applyFont="1" applyFill="1" applyBorder="1"/>
    <xf numFmtId="2" fontId="7" fillId="0" borderId="14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/>
    <xf numFmtId="0" fontId="15" fillId="3" borderId="14" xfId="0" applyFont="1" applyFill="1" applyBorder="1" applyAlignment="1">
      <alignment horizontal="left" vertical="center" wrapText="1"/>
    </xf>
    <xf numFmtId="0" fontId="7" fillId="0" borderId="14" xfId="33" applyFont="1" applyFill="1" applyBorder="1" applyAlignment="1">
      <alignment horizontal="left" vertical="center" wrapText="1"/>
    </xf>
    <xf numFmtId="0" fontId="7" fillId="0" borderId="14" xfId="33" applyFont="1" applyFill="1" applyBorder="1" applyAlignment="1">
      <alignment horizontal="center" vertical="center" wrapText="1"/>
    </xf>
    <xf numFmtId="166" fontId="7" fillId="0" borderId="14" xfId="33" applyNumberFormat="1" applyFont="1" applyFill="1" applyBorder="1" applyAlignment="1">
      <alignment horizontal="center" vertical="center" wrapText="1"/>
    </xf>
    <xf numFmtId="0" fontId="7" fillId="0" borderId="14" xfId="33" applyFont="1" applyFill="1" applyBorder="1" applyAlignment="1">
      <alignment horizontal="center"/>
    </xf>
    <xf numFmtId="0" fontId="76" fillId="0" borderId="0" xfId="0" applyFont="1" applyFill="1"/>
    <xf numFmtId="2" fontId="7" fillId="0" borderId="14" xfId="33" applyNumberFormat="1" applyFont="1" applyFill="1" applyBorder="1" applyAlignment="1">
      <alignment horizontal="center" vertical="center"/>
    </xf>
    <xf numFmtId="0" fontId="7" fillId="0" borderId="14" xfId="33" applyFont="1" applyFill="1" applyBorder="1" applyAlignment="1">
      <alignment vertical="center" wrapText="1"/>
    </xf>
    <xf numFmtId="0" fontId="81" fillId="0" borderId="0" xfId="0" applyFont="1" applyFill="1"/>
    <xf numFmtId="0" fontId="7" fillId="0" borderId="14" xfId="3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/>
    </xf>
    <xf numFmtId="2" fontId="15" fillId="3" borderId="14" xfId="55" applyNumberFormat="1" applyFont="1" applyFill="1" applyBorder="1" applyAlignment="1">
      <alignment horizontal="center" vertical="center"/>
    </xf>
    <xf numFmtId="0" fontId="77" fillId="2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" fillId="0" borderId="14" xfId="5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15" fillId="3" borderId="14" xfId="33" applyFont="1" applyFill="1" applyBorder="1" applyAlignment="1">
      <alignment vertical="center" wrapText="1"/>
    </xf>
    <xf numFmtId="166" fontId="15" fillId="3" borderId="1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3" borderId="1" xfId="33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7" fillId="0" borderId="14" xfId="33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19" fillId="0" borderId="14" xfId="33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5" fillId="3" borderId="14" xfId="33" applyFont="1" applyFill="1" applyBorder="1" applyAlignment="1">
      <alignment horizontal="center" vertical="center" wrapText="1"/>
    </xf>
    <xf numFmtId="0" fontId="15" fillId="3" borderId="14" xfId="33" applyNumberFormat="1" applyFont="1" applyFill="1" applyBorder="1" applyAlignment="1">
      <alignment horizontal="center" vertical="center"/>
    </xf>
    <xf numFmtId="166" fontId="15" fillId="3" borderId="14" xfId="33" applyNumberFormat="1" applyFont="1" applyFill="1" applyBorder="1" applyAlignment="1">
      <alignment horizontal="center" vertical="center"/>
    </xf>
    <xf numFmtId="166" fontId="15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5" fillId="3" borderId="14" xfId="0" applyFont="1" applyFill="1" applyBorder="1" applyAlignment="1">
      <alignment vertical="center" wrapText="1"/>
    </xf>
    <xf numFmtId="0" fontId="2" fillId="3" borderId="14" xfId="0" applyNumberFormat="1" applyFont="1" applyFill="1" applyBorder="1" applyAlignment="1">
      <alignment vertical="center" wrapText="1"/>
    </xf>
    <xf numFmtId="166" fontId="2" fillId="3" borderId="14" xfId="0" applyNumberFormat="1" applyFont="1" applyFill="1" applyBorder="1" applyAlignment="1">
      <alignment vertical="center" wrapText="1"/>
    </xf>
    <xf numFmtId="2" fontId="2" fillId="3" borderId="1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16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4" xfId="73" applyFont="1" applyBorder="1" applyAlignment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7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14" xfId="0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2" fillId="3" borderId="14" xfId="73" applyFont="1" applyFill="1" applyBorder="1" applyAlignment="1">
      <alignment horizontal="center"/>
    </xf>
    <xf numFmtId="167" fontId="12" fillId="3" borderId="1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82" fillId="0" borderId="14" xfId="23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 wrapText="1"/>
    </xf>
    <xf numFmtId="166" fontId="7" fillId="0" borderId="14" xfId="34" applyNumberFormat="1" applyFont="1" applyFill="1" applyBorder="1" applyAlignment="1">
      <alignment horizontal="center" vertical="center" wrapText="1"/>
    </xf>
    <xf numFmtId="0" fontId="7" fillId="0" borderId="14" xfId="23" applyFont="1" applyFill="1" applyBorder="1" applyAlignment="1">
      <alignment horizontal="center" vertical="center"/>
    </xf>
    <xf numFmtId="2" fontId="7" fillId="0" borderId="14" xfId="4" applyNumberFormat="1" applyFont="1" applyFill="1" applyBorder="1" applyAlignment="1">
      <alignment horizontal="center" vertical="center" wrapText="1"/>
    </xf>
    <xf numFmtId="0" fontId="76" fillId="0" borderId="15" xfId="0" applyFont="1" applyFill="1" applyBorder="1"/>
    <xf numFmtId="0" fontId="76" fillId="0" borderId="14" xfId="0" applyFont="1" applyFill="1" applyBorder="1" applyAlignment="1">
      <alignment wrapText="1"/>
    </xf>
    <xf numFmtId="43" fontId="76" fillId="0" borderId="15" xfId="0" applyNumberFormat="1" applyFont="1" applyFill="1" applyBorder="1" applyAlignment="1">
      <alignment horizontal="center" vertical="center"/>
    </xf>
    <xf numFmtId="43" fontId="76" fillId="0" borderId="0" xfId="0" applyNumberFormat="1" applyFont="1" applyFill="1" applyBorder="1" applyAlignment="1">
      <alignment horizontal="center" vertical="center"/>
    </xf>
    <xf numFmtId="2" fontId="76" fillId="0" borderId="15" xfId="0" applyNumberFormat="1" applyFont="1" applyFill="1" applyBorder="1" applyAlignment="1">
      <alignment horizontal="center" vertical="center"/>
    </xf>
    <xf numFmtId="2" fontId="76" fillId="0" borderId="16" xfId="0" applyNumberFormat="1" applyFont="1" applyFill="1" applyBorder="1" applyAlignment="1">
      <alignment horizontal="center"/>
    </xf>
    <xf numFmtId="0" fontId="78" fillId="0" borderId="14" xfId="23" applyFont="1" applyFill="1" applyBorder="1" applyAlignment="1">
      <alignment horizontal="left" vertical="center"/>
    </xf>
    <xf numFmtId="0" fontId="7" fillId="0" borderId="14" xfId="23" applyNumberFormat="1" applyFont="1" applyFill="1" applyBorder="1" applyAlignment="1">
      <alignment horizontal="center" vertical="center"/>
    </xf>
    <xf numFmtId="0" fontId="82" fillId="0" borderId="0" xfId="23" applyFont="1" applyFill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 wrapText="1"/>
    </xf>
    <xf numFmtId="0" fontId="7" fillId="0" borderId="18" xfId="23" applyFont="1" applyFill="1" applyBorder="1" applyAlignment="1">
      <alignment horizontal="center" vertical="center"/>
    </xf>
    <xf numFmtId="0" fontId="15" fillId="0" borderId="18" xfId="25" applyFont="1" applyFill="1" applyBorder="1" applyAlignment="1">
      <alignment horizontal="center" vertical="center" wrapText="1"/>
    </xf>
    <xf numFmtId="0" fontId="22" fillId="0" borderId="18" xfId="23" applyFont="1" applyFill="1" applyBorder="1" applyAlignment="1">
      <alignment horizontal="center" vertical="center"/>
    </xf>
    <xf numFmtId="2" fontId="22" fillId="0" borderId="14" xfId="4" applyNumberFormat="1" applyFont="1" applyFill="1" applyBorder="1" applyAlignment="1">
      <alignment horizontal="center" vertical="center" wrapText="1"/>
    </xf>
    <xf numFmtId="2" fontId="7" fillId="0" borderId="17" xfId="4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68" fontId="7" fillId="0" borderId="14" xfId="34" applyNumberFormat="1" applyFont="1" applyFill="1" applyBorder="1" applyAlignment="1">
      <alignment horizontal="center" vertical="center" wrapText="1"/>
    </xf>
    <xf numFmtId="2" fontId="7" fillId="0" borderId="14" xfId="23" applyNumberFormat="1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left" vertical="center" wrapText="1"/>
    </xf>
    <xf numFmtId="0" fontId="22" fillId="0" borderId="14" xfId="4" applyFont="1" applyFill="1" applyBorder="1" applyAlignment="1">
      <alignment horizontal="left" vertical="center" wrapText="1"/>
    </xf>
    <xf numFmtId="0" fontId="22" fillId="0" borderId="14" xfId="23" applyFont="1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 wrapText="1"/>
    </xf>
    <xf numFmtId="166" fontId="22" fillId="0" borderId="14" xfId="23" applyNumberFormat="1" applyFont="1" applyFill="1" applyBorder="1" applyAlignment="1">
      <alignment horizontal="center" vertical="center"/>
    </xf>
    <xf numFmtId="0" fontId="83" fillId="0" borderId="0" xfId="0" applyFont="1" applyFill="1"/>
    <xf numFmtId="0" fontId="15" fillId="3" borderId="1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3" fontId="7" fillId="0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0" fontId="76" fillId="2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7" fillId="2" borderId="19" xfId="33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6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166" fontId="15" fillId="3" borderId="19" xfId="0" applyNumberFormat="1" applyFont="1" applyFill="1" applyBorder="1" applyAlignment="1">
      <alignment horizontal="center" vertical="center" wrapText="1"/>
    </xf>
    <xf numFmtId="2" fontId="15" fillId="3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166" fontId="7" fillId="2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2" fontId="7" fillId="0" borderId="7" xfId="46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0" fontId="7" fillId="0" borderId="19" xfId="33" applyFont="1" applyFill="1" applyBorder="1" applyAlignment="1">
      <alignment horizontal="left" vertical="center" wrapText="1"/>
    </xf>
    <xf numFmtId="10" fontId="23" fillId="0" borderId="19" xfId="27" applyNumberForma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center" wrapText="1"/>
    </xf>
    <xf numFmtId="2" fontId="39" fillId="0" borderId="19" xfId="0" applyNumberFormat="1" applyFont="1" applyFill="1" applyBorder="1" applyAlignment="1">
      <alignment horizontal="center" vertical="center" wrapText="1"/>
    </xf>
    <xf numFmtId="4" fontId="39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/>
    </xf>
    <xf numFmtId="0" fontId="0" fillId="0" borderId="19" xfId="0" applyBorder="1"/>
    <xf numFmtId="0" fontId="15" fillId="3" borderId="19" xfId="0" applyFont="1" applyFill="1" applyBorder="1" applyAlignment="1">
      <alignment vertical="center" wrapText="1"/>
    </xf>
    <xf numFmtId="0" fontId="15" fillId="3" borderId="19" xfId="0" applyFont="1" applyFill="1" applyBorder="1" applyAlignment="1" applyProtection="1">
      <alignment horizontal="left" vertical="center" wrapText="1"/>
    </xf>
    <xf numFmtId="0" fontId="15" fillId="3" borderId="21" xfId="0" applyFont="1" applyFill="1" applyBorder="1" applyAlignment="1" applyProtection="1">
      <alignment horizontal="center" vertical="center" wrapText="1"/>
    </xf>
    <xf numFmtId="2" fontId="15" fillId="3" borderId="19" xfId="27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15" fillId="3" borderId="7" xfId="0" applyFont="1" applyFill="1" applyBorder="1" applyAlignment="1">
      <alignment horizontal="center" vertical="center" wrapText="1"/>
    </xf>
    <xf numFmtId="167" fontId="15" fillId="3" borderId="19" xfId="0" applyNumberFormat="1" applyFont="1" applyFill="1" applyBorder="1" applyAlignment="1">
      <alignment horizontal="center" vertical="center" wrapText="1"/>
    </xf>
    <xf numFmtId="0" fontId="15" fillId="3" borderId="19" xfId="35" applyFont="1" applyFill="1" applyBorder="1" applyAlignment="1">
      <alignment horizontal="center" vertical="center"/>
    </xf>
    <xf numFmtId="2" fontId="15" fillId="3" borderId="19" xfId="0" applyNumberFormat="1" applyFont="1" applyFill="1" applyBorder="1" applyAlignment="1">
      <alignment horizontal="center" vertical="center"/>
    </xf>
    <xf numFmtId="0" fontId="15" fillId="3" borderId="19" xfId="46" applyFont="1" applyFill="1" applyBorder="1" applyAlignment="1">
      <alignment horizontal="center" vertical="center" wrapText="1"/>
    </xf>
    <xf numFmtId="0" fontId="15" fillId="3" borderId="19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72" fontId="15" fillId="3" borderId="19" xfId="0" applyNumberFormat="1" applyFont="1" applyFill="1" applyBorder="1" applyAlignment="1">
      <alignment horizontal="center" vertical="center"/>
    </xf>
    <xf numFmtId="167" fontId="12" fillId="3" borderId="19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5" fillId="3" borderId="19" xfId="35" applyFont="1" applyFill="1" applyBorder="1" applyAlignment="1">
      <alignment horizontal="center"/>
    </xf>
    <xf numFmtId="0" fontId="15" fillId="3" borderId="19" xfId="35" applyFont="1" applyFill="1" applyBorder="1" applyAlignment="1">
      <alignment vertical="center" wrapText="1"/>
    </xf>
    <xf numFmtId="0" fontId="15" fillId="3" borderId="19" xfId="35" applyFont="1" applyFill="1" applyBorder="1" applyAlignment="1">
      <alignment horizontal="center" vertical="center" wrapText="1"/>
    </xf>
    <xf numFmtId="166" fontId="15" fillId="3" borderId="19" xfId="35" applyNumberFormat="1" applyFont="1" applyFill="1" applyBorder="1" applyAlignment="1">
      <alignment horizontal="center" vertical="center"/>
    </xf>
    <xf numFmtId="2" fontId="15" fillId="3" borderId="19" xfId="35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 wrapText="1"/>
    </xf>
    <xf numFmtId="167" fontId="7" fillId="3" borderId="19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43" fontId="11" fillId="2" borderId="19" xfId="1" applyFont="1" applyFill="1" applyBorder="1" applyAlignment="1">
      <alignment horizontal="center" vertical="center" wrapText="1"/>
    </xf>
    <xf numFmtId="0" fontId="0" fillId="0" borderId="19" xfId="0" applyFill="1" applyBorder="1"/>
    <xf numFmtId="0" fontId="58" fillId="0" borderId="19" xfId="0" applyFont="1" applyBorder="1"/>
    <xf numFmtId="0" fontId="5" fillId="0" borderId="1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" fillId="0" borderId="15" xfId="35" applyFont="1" applyFill="1" applyBorder="1" applyAlignment="1">
      <alignment horizontal="center" vertical="center" wrapText="1"/>
    </xf>
    <xf numFmtId="2" fontId="7" fillId="0" borderId="22" xfId="35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 wrapText="1"/>
    </xf>
    <xf numFmtId="0" fontId="15" fillId="3" borderId="22" xfId="35" applyFont="1" applyFill="1" applyBorder="1" applyAlignment="1">
      <alignment horizontal="center"/>
    </xf>
    <xf numFmtId="2" fontId="7" fillId="3" borderId="22" xfId="25" applyNumberFormat="1" applyFont="1" applyFill="1" applyBorder="1" applyAlignment="1">
      <alignment horizontal="center" vertical="center" wrapText="1"/>
    </xf>
    <xf numFmtId="0" fontId="7" fillId="0" borderId="22" xfId="25" applyFont="1" applyFill="1" applyBorder="1" applyAlignment="1">
      <alignment horizontal="center" vertical="center" wrapText="1"/>
    </xf>
    <xf numFmtId="0" fontId="7" fillId="0" borderId="22" xfId="35" applyFont="1" applyFill="1" applyBorder="1" applyAlignment="1">
      <alignment horizontal="left" vertical="center" wrapText="1"/>
    </xf>
    <xf numFmtId="0" fontId="7" fillId="0" borderId="22" xfId="35" applyFont="1" applyFill="1" applyBorder="1" applyAlignment="1">
      <alignment horizontal="center" vertical="center" wrapText="1"/>
    </xf>
    <xf numFmtId="2" fontId="7" fillId="0" borderId="22" xfId="35" applyNumberFormat="1" applyFont="1" applyFill="1" applyBorder="1" applyAlignment="1">
      <alignment horizontal="center" vertical="center" wrapText="1"/>
    </xf>
    <xf numFmtId="0" fontId="7" fillId="0" borderId="22" xfId="35" applyFont="1" applyFill="1" applyBorder="1" applyAlignment="1">
      <alignment horizontal="center"/>
    </xf>
    <xf numFmtId="2" fontId="7" fillId="0" borderId="22" xfId="25" applyNumberFormat="1" applyFont="1" applyFill="1" applyBorder="1" applyAlignment="1">
      <alignment horizontal="center" vertical="center" wrapText="1"/>
    </xf>
    <xf numFmtId="0" fontId="15" fillId="0" borderId="22" xfId="35" applyFont="1" applyFill="1" applyBorder="1" applyAlignment="1">
      <alignment horizontal="center"/>
    </xf>
    <xf numFmtId="0" fontId="15" fillId="0" borderId="15" xfId="25" applyFont="1" applyFill="1" applyBorder="1" applyAlignment="1">
      <alignment horizontal="center" vertical="center" wrapText="1"/>
    </xf>
    <xf numFmtId="0" fontId="7" fillId="0" borderId="15" xfId="25" applyFont="1" applyFill="1" applyBorder="1" applyAlignment="1">
      <alignment vertical="center"/>
    </xf>
    <xf numFmtId="0" fontId="7" fillId="0" borderId="15" xfId="25" applyFont="1" applyFill="1" applyBorder="1" applyAlignment="1">
      <alignment horizontal="center" vertical="center"/>
    </xf>
    <xf numFmtId="2" fontId="7" fillId="0" borderId="15" xfId="25" applyNumberFormat="1" applyFont="1" applyFill="1" applyBorder="1" applyAlignment="1">
      <alignment horizontal="center" vertical="center" wrapText="1"/>
    </xf>
    <xf numFmtId="0" fontId="7" fillId="0" borderId="22" xfId="46" applyFont="1" applyFill="1" applyBorder="1" applyAlignment="1">
      <alignment horizontal="center" vertical="center" wrapText="1"/>
    </xf>
    <xf numFmtId="43" fontId="15" fillId="0" borderId="22" xfId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3" borderId="22" xfId="46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43" fontId="15" fillId="3" borderId="22" xfId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2" fontId="15" fillId="3" borderId="22" xfId="35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9" fillId="0" borderId="22" xfId="3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0" fontId="17" fillId="3" borderId="22" xfId="0" applyNumberFormat="1" applyFont="1" applyFill="1" applyBorder="1" applyAlignment="1">
      <alignment horizontal="center" vertical="center"/>
    </xf>
    <xf numFmtId="0" fontId="81" fillId="3" borderId="22" xfId="0" applyNumberFormat="1" applyFont="1" applyFill="1" applyBorder="1" applyAlignment="1">
      <alignment horizontal="center" vertical="center"/>
    </xf>
    <xf numFmtId="2" fontId="85" fillId="3" borderId="2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42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86" fillId="0" borderId="22" xfId="0" applyNumberFormat="1" applyFont="1" applyFill="1" applyBorder="1" applyAlignment="1">
      <alignment horizontal="center" vertical="center"/>
    </xf>
    <xf numFmtId="2" fontId="86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87" fillId="0" borderId="22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vertical="center"/>
    </xf>
    <xf numFmtId="0" fontId="89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38" fillId="0" borderId="22" xfId="0" applyNumberFormat="1" applyFont="1" applyFill="1" applyBorder="1" applyAlignment="1">
      <alignment horizontal="center" vertical="center" wrapText="1"/>
    </xf>
    <xf numFmtId="0" fontId="90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77" fillId="0" borderId="22" xfId="0" applyNumberFormat="1" applyFont="1" applyFill="1" applyBorder="1"/>
    <xf numFmtId="0" fontId="77" fillId="0" borderId="22" xfId="0" applyNumberFormat="1" applyFont="1" applyFill="1" applyBorder="1" applyAlignment="1">
      <alignment horizontal="center" vertical="center"/>
    </xf>
    <xf numFmtId="0" fontId="93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wrapText="1"/>
    </xf>
    <xf numFmtId="0" fontId="0" fillId="0" borderId="22" xfId="0" applyNumberFormat="1" applyFill="1" applyBorder="1" applyAlignment="1">
      <alignment horizontal="center" vertical="center"/>
    </xf>
    <xf numFmtId="2" fontId="38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81" fillId="3" borderId="22" xfId="0" applyNumberFormat="1" applyFont="1" applyFill="1" applyBorder="1" applyAlignment="1">
      <alignment vertical="center" wrapText="1"/>
    </xf>
    <xf numFmtId="0" fontId="15" fillId="3" borderId="22" xfId="34" applyFont="1" applyFill="1" applyBorder="1" applyAlignment="1">
      <alignment horizontal="center" vertical="center" wrapText="1"/>
    </xf>
    <xf numFmtId="0" fontId="43" fillId="3" borderId="22" xfId="34" applyFont="1" applyFill="1" applyBorder="1" applyAlignment="1">
      <alignment vertical="center" wrapText="1"/>
    </xf>
    <xf numFmtId="0" fontId="2" fillId="3" borderId="22" xfId="34" applyFont="1" applyFill="1" applyBorder="1" applyAlignment="1">
      <alignment horizontal="center" vertical="center"/>
    </xf>
    <xf numFmtId="0" fontId="34" fillId="3" borderId="22" xfId="34" applyFont="1" applyFill="1" applyBorder="1" applyAlignment="1">
      <alignment horizontal="center" vertical="center"/>
    </xf>
    <xf numFmtId="2" fontId="15" fillId="3" borderId="22" xfId="34" applyNumberFormat="1" applyFont="1" applyFill="1" applyBorder="1" applyAlignment="1">
      <alignment horizontal="center" vertical="center" wrapText="1"/>
    </xf>
    <xf numFmtId="2" fontId="7" fillId="3" borderId="22" xfId="34" applyNumberFormat="1" applyFont="1" applyFill="1" applyBorder="1" applyAlignment="1">
      <alignment horizontal="center" vertical="center" wrapText="1"/>
    </xf>
    <xf numFmtId="167" fontId="7" fillId="3" borderId="22" xfId="34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0" fontId="7" fillId="0" borderId="15" xfId="34" applyFont="1" applyFill="1" applyBorder="1" applyAlignment="1">
      <alignment horizontal="center" vertical="center" wrapText="1"/>
    </xf>
    <xf numFmtId="2" fontId="15" fillId="0" borderId="15" xfId="34" applyNumberFormat="1" applyFont="1" applyFill="1" applyBorder="1" applyAlignment="1">
      <alignment horizontal="center" vertical="center" wrapText="1"/>
    </xf>
    <xf numFmtId="167" fontId="15" fillId="0" borderId="15" xfId="34" applyNumberFormat="1" applyFont="1" applyFill="1" applyBorder="1" applyAlignment="1">
      <alignment horizontal="center" vertical="center" wrapText="1"/>
    </xf>
    <xf numFmtId="2" fontId="7" fillId="0" borderId="22" xfId="34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/>
    </xf>
    <xf numFmtId="0" fontId="15" fillId="0" borderId="15" xfId="34" applyFont="1" applyFill="1" applyBorder="1" applyAlignment="1">
      <alignment horizontal="center" vertical="center" wrapText="1"/>
    </xf>
    <xf numFmtId="0" fontId="7" fillId="0" borderId="22" xfId="34" applyFont="1" applyFill="1" applyBorder="1" applyAlignment="1">
      <alignment horizontal="center" vertical="center"/>
    </xf>
    <xf numFmtId="0" fontId="7" fillId="0" borderId="15" xfId="34" applyFont="1" applyFill="1" applyBorder="1" applyAlignment="1">
      <alignment horizontal="center" vertical="center"/>
    </xf>
    <xf numFmtId="0" fontId="43" fillId="3" borderId="23" xfId="34" applyFont="1" applyFill="1" applyBorder="1" applyAlignment="1">
      <alignment horizontal="left" vertical="top" wrapText="1"/>
    </xf>
    <xf numFmtId="0" fontId="15" fillId="3" borderId="22" xfId="34" applyFont="1" applyFill="1" applyBorder="1" applyAlignment="1">
      <alignment horizontal="center" vertical="center"/>
    </xf>
    <xf numFmtId="0" fontId="15" fillId="3" borderId="22" xfId="38" applyFont="1" applyFill="1" applyBorder="1" applyAlignment="1">
      <alignment horizontal="center" vertical="center" wrapText="1"/>
    </xf>
    <xf numFmtId="0" fontId="79" fillId="3" borderId="22" xfId="34" applyFont="1" applyFill="1" applyBorder="1" applyAlignment="1">
      <alignment horizontal="center" vertical="center"/>
    </xf>
    <xf numFmtId="167" fontId="15" fillId="3" borderId="22" xfId="34" applyNumberFormat="1" applyFont="1" applyFill="1" applyBorder="1" applyAlignment="1">
      <alignment horizontal="center" vertical="center" wrapText="1"/>
    </xf>
    <xf numFmtId="0" fontId="79" fillId="2" borderId="0" xfId="34" applyFont="1" applyFill="1"/>
    <xf numFmtId="0" fontId="7" fillId="0" borderId="23" xfId="35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11" fillId="0" borderId="22" xfId="74" applyFont="1" applyBorder="1" applyAlignment="1">
      <alignment horizontal="left" vertical="center"/>
    </xf>
    <xf numFmtId="0" fontId="11" fillId="0" borderId="22" xfId="74" applyFont="1" applyBorder="1" applyAlignment="1">
      <alignment horizontal="center" vertical="center"/>
    </xf>
    <xf numFmtId="0" fontId="15" fillId="3" borderId="0" xfId="34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vertical="center" wrapText="1"/>
    </xf>
    <xf numFmtId="0" fontId="7" fillId="3" borderId="22" xfId="34" applyFont="1" applyFill="1" applyBorder="1" applyAlignment="1">
      <alignment horizontal="center" vertical="center"/>
    </xf>
    <xf numFmtId="0" fontId="15" fillId="3" borderId="15" xfId="34" applyFont="1" applyFill="1" applyBorder="1" applyAlignment="1">
      <alignment horizontal="center" vertical="center"/>
    </xf>
    <xf numFmtId="0" fontId="7" fillId="3" borderId="15" xfId="34" applyFont="1" applyFill="1" applyBorder="1" applyAlignment="1">
      <alignment horizontal="center" vertical="center" wrapText="1"/>
    </xf>
    <xf numFmtId="2" fontId="15" fillId="3" borderId="15" xfId="34" applyNumberFormat="1" applyFont="1" applyFill="1" applyBorder="1" applyAlignment="1">
      <alignment horizontal="center" vertical="center" wrapText="1"/>
    </xf>
    <xf numFmtId="167" fontId="15" fillId="3" borderId="15" xfId="34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left" vertical="center"/>
    </xf>
    <xf numFmtId="0" fontId="15" fillId="3" borderId="22" xfId="33" applyFont="1" applyFill="1" applyBorder="1" applyAlignment="1">
      <alignment horizontal="left" vertical="center" wrapText="1"/>
    </xf>
    <xf numFmtId="0" fontId="15" fillId="3" borderId="22" xfId="33" applyFont="1" applyFill="1" applyBorder="1" applyAlignment="1">
      <alignment horizontal="center" vertical="center" wrapText="1"/>
    </xf>
    <xf numFmtId="2" fontId="15" fillId="3" borderId="22" xfId="33" applyNumberFormat="1" applyFont="1" applyFill="1" applyBorder="1" applyAlignment="1">
      <alignment horizontal="center" vertical="center" wrapText="1"/>
    </xf>
    <xf numFmtId="2" fontId="15" fillId="3" borderId="22" xfId="0" applyNumberFormat="1" applyFont="1" applyFill="1" applyBorder="1" applyAlignment="1">
      <alignment horizontal="center" vertical="center" wrapText="1"/>
    </xf>
    <xf numFmtId="0" fontId="7" fillId="0" borderId="22" xfId="33" applyFont="1" applyFill="1" applyBorder="1" applyAlignment="1">
      <alignment horizontal="left" vertical="center" wrapText="1"/>
    </xf>
    <xf numFmtId="0" fontId="7" fillId="0" borderId="22" xfId="33" applyFont="1" applyFill="1" applyBorder="1" applyAlignment="1">
      <alignment horizontal="center" vertical="center" wrapText="1"/>
    </xf>
    <xf numFmtId="2" fontId="7" fillId="0" borderId="22" xfId="33" applyNumberFormat="1" applyFont="1" applyFill="1" applyBorder="1" applyAlignment="1">
      <alignment horizontal="center" vertical="center" wrapText="1"/>
    </xf>
    <xf numFmtId="0" fontId="7" fillId="0" borderId="22" xfId="33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4" xfId="33" applyFont="1" applyFill="1" applyBorder="1" applyAlignment="1">
      <alignment horizontal="left" vertical="center" wrapText="1"/>
    </xf>
    <xf numFmtId="0" fontId="15" fillId="3" borderId="24" xfId="33" applyFont="1" applyFill="1" applyBorder="1" applyAlignment="1">
      <alignment horizontal="center" vertical="center" wrapText="1"/>
    </xf>
    <xf numFmtId="2" fontId="15" fillId="3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33" applyFont="1" applyFill="1" applyBorder="1" applyAlignment="1">
      <alignment horizontal="left" vertical="center" wrapText="1"/>
    </xf>
    <xf numFmtId="0" fontId="7" fillId="0" borderId="24" xfId="33" applyFont="1" applyFill="1" applyBorder="1" applyAlignment="1">
      <alignment horizontal="center" vertical="center" wrapText="1"/>
    </xf>
    <xf numFmtId="2" fontId="7" fillId="0" borderId="24" xfId="33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>
      <alignment horizontal="center" vertical="center" wrapText="1"/>
    </xf>
    <xf numFmtId="167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vertical="center"/>
    </xf>
    <xf numFmtId="166" fontId="7" fillId="0" borderId="24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2" fontId="7" fillId="0" borderId="24" xfId="0" applyNumberFormat="1" applyFont="1" applyFill="1" applyBorder="1" applyAlignment="1">
      <alignment vertical="center" wrapText="1"/>
    </xf>
    <xf numFmtId="0" fontId="7" fillId="0" borderId="24" xfId="33" applyFont="1" applyFill="1" applyBorder="1" applyAlignment="1">
      <alignment horizontal="center" vertical="center"/>
    </xf>
    <xf numFmtId="2" fontId="7" fillId="0" borderId="24" xfId="33" applyNumberFormat="1" applyFont="1" applyFill="1" applyBorder="1" applyAlignment="1">
      <alignment horizontal="center" vertical="center"/>
    </xf>
    <xf numFmtId="0" fontId="7" fillId="0" borderId="24" xfId="33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7" fillId="0" borderId="24" xfId="65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0" fontId="78" fillId="2" borderId="0" xfId="0" applyFont="1" applyFill="1"/>
    <xf numFmtId="0" fontId="7" fillId="0" borderId="24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2" fontId="15" fillId="3" borderId="24" xfId="0" applyNumberFormat="1" applyFont="1" applyFill="1" applyBorder="1" applyAlignment="1">
      <alignment horizontal="center" vertical="center"/>
    </xf>
    <xf numFmtId="166" fontId="7" fillId="0" borderId="24" xfId="33" applyNumberFormat="1" applyFont="1" applyFill="1" applyBorder="1" applyAlignment="1">
      <alignment horizontal="center" vertical="center"/>
    </xf>
    <xf numFmtId="2" fontId="7" fillId="0" borderId="24" xfId="46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166" fontId="7" fillId="0" borderId="24" xfId="33" applyNumberFormat="1" applyFont="1" applyFill="1" applyBorder="1" applyAlignment="1">
      <alignment horizontal="center" vertical="center" wrapText="1"/>
    </xf>
    <xf numFmtId="0" fontId="7" fillId="0" borderId="24" xfId="25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35" applyFont="1" applyFill="1" applyBorder="1" applyAlignment="1">
      <alignment horizontal="center" vertical="center"/>
    </xf>
    <xf numFmtId="175" fontId="7" fillId="0" borderId="24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 wrapText="1"/>
    </xf>
    <xf numFmtId="0" fontId="15" fillId="3" borderId="14" xfId="55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 wrapText="1"/>
    </xf>
    <xf numFmtId="0" fontId="7" fillId="0" borderId="24" xfId="35" applyFont="1" applyFill="1" applyBorder="1" applyAlignment="1">
      <alignment vertical="center" wrapText="1"/>
    </xf>
    <xf numFmtId="0" fontId="7" fillId="0" borderId="24" xfId="33" applyNumberFormat="1" applyFont="1" applyFill="1" applyBorder="1" applyAlignment="1">
      <alignment horizontal="center" vertical="center"/>
    </xf>
    <xf numFmtId="0" fontId="20" fillId="0" borderId="1" xfId="33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7" fillId="0" borderId="24" xfId="12" applyNumberFormat="1" applyFont="1" applyFill="1" applyBorder="1" applyAlignment="1">
      <alignment horizontal="center" vertical="center"/>
    </xf>
    <xf numFmtId="0" fontId="15" fillId="3" borderId="24" xfId="0" applyNumberFormat="1" applyFont="1" applyFill="1" applyBorder="1" applyAlignment="1">
      <alignment horizontal="center" vertical="center"/>
    </xf>
    <xf numFmtId="166" fontId="15" fillId="3" borderId="24" xfId="0" applyNumberFormat="1" applyFont="1" applyFill="1" applyBorder="1" applyAlignment="1">
      <alignment horizontal="center" vertical="center"/>
    </xf>
    <xf numFmtId="2" fontId="7" fillId="0" borderId="24" xfId="25" applyNumberFormat="1" applyFont="1" applyFill="1" applyBorder="1" applyAlignment="1">
      <alignment horizontal="center" vertical="center" wrapText="1"/>
    </xf>
    <xf numFmtId="2" fontId="7" fillId="0" borderId="24" xfId="25" applyNumberFormat="1" applyFont="1" applyFill="1" applyBorder="1" applyAlignment="1">
      <alignment horizontal="center" vertical="center"/>
    </xf>
    <xf numFmtId="0" fontId="7" fillId="0" borderId="24" xfId="25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68" fontId="7" fillId="0" borderId="24" xfId="33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" fontId="7" fillId="0" borderId="24" xfId="72" applyNumberFormat="1" applyFont="1" applyFill="1" applyBorder="1" applyAlignment="1">
      <alignment horizontal="center" vertical="center" wrapText="1"/>
    </xf>
    <xf numFmtId="0" fontId="15" fillId="3" borderId="24" xfId="25" applyFont="1" applyFill="1" applyBorder="1" applyAlignment="1">
      <alignment horizontal="center" vertical="center" wrapText="1"/>
    </xf>
    <xf numFmtId="0" fontId="15" fillId="3" borderId="24" xfId="25" applyFont="1" applyFill="1" applyBorder="1" applyAlignment="1">
      <alignment horizontal="left" vertical="center" wrapText="1"/>
    </xf>
    <xf numFmtId="0" fontId="15" fillId="3" borderId="24" xfId="35" applyFont="1" applyFill="1" applyBorder="1" applyAlignment="1">
      <alignment horizontal="center" vertical="center"/>
    </xf>
    <xf numFmtId="2" fontId="15" fillId="3" borderId="24" xfId="25" applyNumberFormat="1" applyFont="1" applyFill="1" applyBorder="1" applyAlignment="1">
      <alignment horizontal="center" vertical="center"/>
    </xf>
    <xf numFmtId="2" fontId="15" fillId="3" borderId="24" xfId="25" applyNumberFormat="1" applyFont="1" applyFill="1" applyBorder="1" applyAlignment="1">
      <alignment horizontal="center" vertical="center" wrapText="1"/>
    </xf>
    <xf numFmtId="2" fontId="7" fillId="3" borderId="24" xfId="25" applyNumberFormat="1" applyFont="1" applyFill="1" applyBorder="1" applyAlignment="1">
      <alignment horizontal="center" vertical="center" wrapText="1"/>
    </xf>
    <xf numFmtId="2" fontId="7" fillId="3" borderId="24" xfId="25" applyNumberFormat="1" applyFont="1" applyFill="1" applyBorder="1" applyAlignment="1">
      <alignment horizontal="center" vertical="center"/>
    </xf>
    <xf numFmtId="0" fontId="7" fillId="0" borderId="24" xfId="33" applyNumberFormat="1" applyFont="1" applyFill="1" applyBorder="1" applyAlignment="1">
      <alignment horizontal="center" vertical="center" wrapText="1"/>
    </xf>
    <xf numFmtId="0" fontId="15" fillId="0" borderId="24" xfId="26" applyFont="1" applyFill="1" applyBorder="1" applyAlignment="1">
      <alignment horizontal="center" vertical="center" wrapText="1"/>
    </xf>
    <xf numFmtId="0" fontId="7" fillId="0" borderId="24" xfId="26" applyFont="1" applyFill="1" applyBorder="1" applyAlignment="1">
      <alignment vertical="center"/>
    </xf>
    <xf numFmtId="0" fontId="7" fillId="0" borderId="24" xfId="35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>
      <alignment horizontal="center" vertical="center"/>
    </xf>
    <xf numFmtId="166" fontId="7" fillId="0" borderId="24" xfId="26" applyNumberFormat="1" applyFont="1" applyFill="1" applyBorder="1" applyAlignment="1">
      <alignment horizontal="center" vertical="center" wrapText="1"/>
    </xf>
    <xf numFmtId="166" fontId="7" fillId="0" borderId="24" xfId="1" applyNumberFormat="1" applyFont="1" applyFill="1" applyBorder="1" applyAlignment="1">
      <alignment horizontal="center" vertical="center" wrapText="1"/>
    </xf>
    <xf numFmtId="2" fontId="7" fillId="0" borderId="24" xfId="1" applyNumberFormat="1" applyFont="1" applyFill="1" applyBorder="1" applyAlignment="1">
      <alignment horizontal="center" vertical="center" wrapText="1"/>
    </xf>
    <xf numFmtId="2" fontId="15" fillId="0" borderId="24" xfId="1" applyNumberFormat="1" applyFont="1" applyFill="1" applyBorder="1" applyAlignment="1">
      <alignment horizontal="center" vertical="center"/>
    </xf>
    <xf numFmtId="43" fontId="7" fillId="0" borderId="24" xfId="1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4" xfId="35" applyNumberFormat="1" applyFont="1" applyFill="1" applyBorder="1" applyAlignment="1">
      <alignment horizontal="center" vertical="center"/>
    </xf>
    <xf numFmtId="166" fontId="7" fillId="0" borderId="24" xfId="35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66" fontId="7" fillId="0" borderId="24" xfId="25" applyNumberFormat="1" applyFont="1" applyFill="1" applyBorder="1" applyAlignment="1">
      <alignment horizontal="center" vertical="center" wrapText="1"/>
    </xf>
    <xf numFmtId="0" fontId="15" fillId="3" borderId="24" xfId="33" applyFont="1" applyFill="1" applyBorder="1" applyAlignment="1">
      <alignment vertical="center" wrapText="1"/>
    </xf>
    <xf numFmtId="0" fontId="15" fillId="3" borderId="24" xfId="33" applyNumberFormat="1" applyFont="1" applyFill="1" applyBorder="1" applyAlignment="1">
      <alignment horizontal="center" vertical="center"/>
    </xf>
    <xf numFmtId="166" fontId="15" fillId="3" borderId="24" xfId="33" applyNumberFormat="1" applyFont="1" applyFill="1" applyBorder="1" applyAlignment="1">
      <alignment horizontal="center" vertical="center"/>
    </xf>
    <xf numFmtId="166" fontId="15" fillId="3" borderId="24" xfId="25" applyNumberFormat="1" applyFont="1" applyFill="1" applyBorder="1" applyAlignment="1">
      <alignment horizontal="center" vertical="center" wrapText="1"/>
    </xf>
    <xf numFmtId="0" fontId="7" fillId="0" borderId="24" xfId="27" applyFont="1" applyFill="1" applyBorder="1" applyAlignment="1">
      <alignment horizontal="center" vertical="center"/>
    </xf>
    <xf numFmtId="166" fontId="10" fillId="0" borderId="24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vertical="center" wrapText="1"/>
    </xf>
    <xf numFmtId="166" fontId="2" fillId="3" borderId="24" xfId="0" applyNumberFormat="1" applyFont="1" applyFill="1" applyBorder="1" applyAlignment="1">
      <alignment vertical="center" wrapText="1"/>
    </xf>
    <xf numFmtId="2" fontId="15" fillId="3" borderId="24" xfId="0" applyNumberFormat="1" applyFont="1" applyFill="1" applyBorder="1" applyAlignment="1">
      <alignment vertical="center" wrapText="1"/>
    </xf>
    <xf numFmtId="0" fontId="15" fillId="3" borderId="24" xfId="0" applyNumberFormat="1" applyFont="1" applyFill="1" applyBorder="1" applyAlignment="1">
      <alignment horizontal="center" vertical="center" wrapText="1"/>
    </xf>
    <xf numFmtId="0" fontId="19" fillId="0" borderId="24" xfId="33" applyFont="1" applyFill="1" applyBorder="1" applyAlignment="1">
      <alignment horizontal="center" vertical="center" wrapText="1"/>
    </xf>
    <xf numFmtId="0" fontId="15" fillId="3" borderId="24" xfId="33" applyFont="1" applyFill="1" applyBorder="1" applyAlignment="1">
      <alignment horizontal="center" vertical="center"/>
    </xf>
    <xf numFmtId="173" fontId="15" fillId="3" borderId="24" xfId="72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68" fontId="3" fillId="0" borderId="24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168" fontId="3" fillId="0" borderId="24" xfId="0" applyNumberFormat="1" applyFont="1" applyFill="1" applyBorder="1" applyAlignment="1">
      <alignment horizontal="center" vertical="center"/>
    </xf>
    <xf numFmtId="0" fontId="7" fillId="0" borderId="24" xfId="38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43" fontId="7" fillId="0" borderId="24" xfId="0" applyNumberFormat="1" applyFont="1" applyFill="1" applyBorder="1" applyAlignment="1">
      <alignment horizontal="center" vertical="center"/>
    </xf>
    <xf numFmtId="43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0" fontId="7" fillId="0" borderId="22" xfId="27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3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2" fontId="7" fillId="0" borderId="22" xfId="12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 wrapText="1"/>
    </xf>
    <xf numFmtId="43" fontId="8" fillId="3" borderId="24" xfId="0" applyNumberFormat="1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/>
    </xf>
    <xf numFmtId="2" fontId="15" fillId="3" borderId="24" xfId="12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43" fontId="8" fillId="3" borderId="22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15" fillId="3" borderId="22" xfId="12" applyNumberFormat="1" applyFont="1" applyFill="1" applyBorder="1" applyAlignment="1">
      <alignment horizontal="center" vertical="center"/>
    </xf>
    <xf numFmtId="171" fontId="7" fillId="0" borderId="22" xfId="0" applyNumberFormat="1" applyFont="1" applyFill="1" applyBorder="1" applyAlignment="1">
      <alignment horizontal="center" vertical="center"/>
    </xf>
    <xf numFmtId="168" fontId="7" fillId="0" borderId="22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171" fontId="6" fillId="0" borderId="15" xfId="0" applyNumberFormat="1" applyFont="1" applyFill="1" applyBorder="1" applyAlignment="1">
      <alignment horizontal="center" vertical="center"/>
    </xf>
    <xf numFmtId="0" fontId="80" fillId="3" borderId="22" xfId="0" applyFont="1" applyFill="1" applyBorder="1" applyAlignment="1">
      <alignment horizontal="center" vertical="center"/>
    </xf>
    <xf numFmtId="43" fontId="80" fillId="3" borderId="22" xfId="0" applyNumberFormat="1" applyFont="1" applyFill="1" applyBorder="1" applyAlignment="1">
      <alignment horizontal="center" vertical="center"/>
    </xf>
    <xf numFmtId="43" fontId="7" fillId="0" borderId="22" xfId="0" applyNumberFormat="1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vertical="center" wrapText="1"/>
    </xf>
    <xf numFmtId="0" fontId="76" fillId="0" borderId="22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 wrapText="1"/>
    </xf>
    <xf numFmtId="43" fontId="76" fillId="0" borderId="22" xfId="0" applyNumberFormat="1" applyFont="1" applyFill="1" applyBorder="1" applyAlignment="1">
      <alignment horizontal="center" vertical="center"/>
    </xf>
    <xf numFmtId="43" fontId="99" fillId="0" borderId="22" xfId="1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wrapText="1"/>
    </xf>
    <xf numFmtId="43" fontId="99" fillId="0" borderId="22" xfId="0" applyNumberFormat="1" applyFont="1" applyFill="1" applyBorder="1" applyAlignment="1">
      <alignment horizontal="center" vertical="center"/>
    </xf>
    <xf numFmtId="168" fontId="99" fillId="0" borderId="22" xfId="0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80" fillId="3" borderId="22" xfId="0" applyFont="1" applyFill="1" applyBorder="1" applyAlignment="1">
      <alignment vertical="center" wrapText="1"/>
    </xf>
    <xf numFmtId="2" fontId="7" fillId="0" borderId="22" xfId="25" applyNumberFormat="1" applyFont="1" applyFill="1" applyBorder="1" applyAlignment="1">
      <alignment horizontal="center" vertical="center"/>
    </xf>
    <xf numFmtId="0" fontId="7" fillId="0" borderId="22" xfId="33" applyFont="1" applyFill="1" applyBorder="1" applyAlignment="1">
      <alignment horizontal="center" vertical="center"/>
    </xf>
    <xf numFmtId="2" fontId="7" fillId="0" borderId="22" xfId="33" applyNumberFormat="1" applyFont="1" applyFill="1" applyBorder="1" applyAlignment="1">
      <alignment horizontal="center" vertical="center"/>
    </xf>
    <xf numFmtId="0" fontId="7" fillId="0" borderId="22" xfId="25" applyNumberFormat="1" applyFont="1" applyFill="1" applyBorder="1" applyAlignment="1">
      <alignment horizontal="center" vertical="center" wrapText="1"/>
    </xf>
    <xf numFmtId="0" fontId="15" fillId="3" borderId="22" xfId="25" applyFont="1" applyFill="1" applyBorder="1" applyAlignment="1">
      <alignment horizontal="center" vertical="center" wrapText="1"/>
    </xf>
    <xf numFmtId="0" fontId="15" fillId="3" borderId="22" xfId="25" applyFont="1" applyFill="1" applyBorder="1" applyAlignment="1">
      <alignment vertical="center" wrapText="1"/>
    </xf>
    <xf numFmtId="0" fontId="15" fillId="3" borderId="22" xfId="35" applyFont="1" applyFill="1" applyBorder="1" applyAlignment="1">
      <alignment horizontal="center" vertical="center"/>
    </xf>
    <xf numFmtId="173" fontId="15" fillId="3" borderId="22" xfId="72" applyNumberFormat="1" applyFont="1" applyFill="1" applyBorder="1" applyAlignment="1">
      <alignment horizontal="center" vertical="center" wrapText="1"/>
    </xf>
    <xf numFmtId="2" fontId="15" fillId="3" borderId="22" xfId="25" applyNumberFormat="1" applyFont="1" applyFill="1" applyBorder="1" applyAlignment="1">
      <alignment horizontal="center" vertical="center" wrapText="1"/>
    </xf>
    <xf numFmtId="2" fontId="7" fillId="3" borderId="22" xfId="25" applyNumberFormat="1" applyFont="1" applyFill="1" applyBorder="1" applyAlignment="1">
      <alignment horizontal="center" vertical="center"/>
    </xf>
    <xf numFmtId="2" fontId="7" fillId="0" borderId="22" xfId="46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9" fillId="0" borderId="0" xfId="0" applyFont="1"/>
    <xf numFmtId="0" fontId="11" fillId="0" borderId="22" xfId="0" applyFont="1" applyBorder="1" applyAlignment="1">
      <alignment horizontal="left"/>
    </xf>
    <xf numFmtId="166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22" xfId="73" applyNumberFormat="1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1" fillId="0" borderId="22" xfId="73" applyFont="1" applyBorder="1" applyAlignment="1">
      <alignment horizont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2" xfId="73" applyFont="1" applyFill="1" applyBorder="1" applyAlignment="1">
      <alignment horizontal="center" vertical="center" wrapText="1"/>
    </xf>
    <xf numFmtId="2" fontId="12" fillId="3" borderId="2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42" fillId="0" borderId="22" xfId="0" applyFont="1" applyBorder="1" applyAlignment="1">
      <alignment horizontal="center"/>
    </xf>
    <xf numFmtId="168" fontId="11" fillId="0" borderId="22" xfId="0" applyNumberFormat="1" applyFont="1" applyBorder="1" applyAlignment="1">
      <alignment horizontal="center"/>
    </xf>
    <xf numFmtId="0" fontId="7" fillId="0" borderId="22" xfId="33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82" fillId="0" borderId="22" xfId="23" applyFont="1" applyFill="1" applyBorder="1" applyAlignment="1">
      <alignment horizontal="center" vertical="center"/>
    </xf>
    <xf numFmtId="0" fontId="78" fillId="0" borderId="22" xfId="23" applyFont="1" applyFill="1" applyBorder="1" applyAlignment="1">
      <alignment horizontal="left" vertical="center"/>
    </xf>
    <xf numFmtId="0" fontId="7" fillId="0" borderId="22" xfId="23" applyFont="1" applyFill="1" applyBorder="1" applyAlignment="1">
      <alignment horizontal="center" vertical="center"/>
    </xf>
    <xf numFmtId="0" fontId="7" fillId="0" borderId="22" xfId="72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166" fontId="8" fillId="3" borderId="22" xfId="0" applyNumberFormat="1" applyFont="1" applyFill="1" applyBorder="1" applyAlignment="1">
      <alignment horizontal="center" vertical="center"/>
    </xf>
    <xf numFmtId="0" fontId="100" fillId="3" borderId="22" xfId="23" applyFont="1" applyFill="1" applyBorder="1" applyAlignment="1">
      <alignment horizontal="center" vertical="center"/>
    </xf>
    <xf numFmtId="0" fontId="15" fillId="3" borderId="22" xfId="23" applyFont="1" applyFill="1" applyBorder="1" applyAlignment="1">
      <alignment horizontal="center" vertical="center"/>
    </xf>
    <xf numFmtId="2" fontId="15" fillId="3" borderId="22" xfId="25" applyNumberFormat="1" applyFont="1" applyFill="1" applyBorder="1" applyAlignment="1">
      <alignment horizontal="center" vertical="center"/>
    </xf>
    <xf numFmtId="0" fontId="100" fillId="0" borderId="0" xfId="23" applyFont="1" applyFill="1" applyAlignment="1">
      <alignment horizontal="center" vertical="center"/>
    </xf>
    <xf numFmtId="0" fontId="79" fillId="3" borderId="22" xfId="23" applyFont="1" applyFill="1" applyBorder="1" applyAlignment="1">
      <alignment horizontal="left" vertical="center" wrapText="1"/>
    </xf>
    <xf numFmtId="0" fontId="38" fillId="0" borderId="22" xfId="33" applyFont="1" applyFill="1" applyBorder="1" applyAlignment="1">
      <alignment horizontal="left" vertical="center" wrapText="1"/>
    </xf>
    <xf numFmtId="0" fontId="38" fillId="0" borderId="22" xfId="33" applyFont="1" applyFill="1" applyBorder="1" applyAlignment="1">
      <alignment horizontal="center" vertical="center" wrapText="1"/>
    </xf>
    <xf numFmtId="0" fontId="38" fillId="0" borderId="22" xfId="33" applyFont="1" applyFill="1" applyBorder="1" applyAlignment="1">
      <alignment horizontal="center"/>
    </xf>
    <xf numFmtId="2" fontId="38" fillId="0" borderId="22" xfId="33" applyNumberFormat="1" applyFont="1" applyFill="1" applyBorder="1" applyAlignment="1">
      <alignment horizontal="center"/>
    </xf>
    <xf numFmtId="0" fontId="38" fillId="0" borderId="22" xfId="0" applyFont="1" applyFill="1" applyBorder="1"/>
    <xf numFmtId="0" fontId="101" fillId="0" borderId="0" xfId="0" applyFont="1" applyFill="1"/>
    <xf numFmtId="0" fontId="7" fillId="0" borderId="22" xfId="0" applyFont="1" applyFill="1" applyBorder="1"/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33" applyNumberFormat="1" applyFont="1" applyFill="1" applyBorder="1" applyAlignment="1">
      <alignment horizontal="center" vertical="center" wrapText="1"/>
    </xf>
    <xf numFmtId="166" fontId="7" fillId="0" borderId="22" xfId="33" applyNumberFormat="1" applyFont="1" applyFill="1" applyBorder="1" applyAlignment="1">
      <alignment horizontal="center" vertical="center" wrapText="1"/>
    </xf>
    <xf numFmtId="0" fontId="7" fillId="0" borderId="22" xfId="33" applyNumberFormat="1" applyFont="1" applyFill="1" applyBorder="1" applyAlignment="1">
      <alignment horizontal="center" vertical="center"/>
    </xf>
    <xf numFmtId="166" fontId="7" fillId="0" borderId="22" xfId="33" applyNumberFormat="1" applyFont="1" applyFill="1" applyBorder="1" applyAlignment="1">
      <alignment horizontal="center" vertical="center"/>
    </xf>
    <xf numFmtId="166" fontId="7" fillId="0" borderId="22" xfId="25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166" fontId="12" fillId="3" borderId="2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3" borderId="22" xfId="0" applyNumberFormat="1" applyFont="1" applyFill="1" applyBorder="1" applyAlignment="1">
      <alignment horizontal="center" vertical="center" wrapText="1"/>
    </xf>
    <xf numFmtId="2" fontId="15" fillId="3" borderId="22" xfId="0" applyNumberFormat="1" applyFont="1" applyFill="1" applyBorder="1" applyAlignment="1">
      <alignment horizontal="center" vertical="center"/>
    </xf>
    <xf numFmtId="0" fontId="101" fillId="0" borderId="0" xfId="0" applyFont="1"/>
    <xf numFmtId="166" fontId="11" fillId="0" borderId="22" xfId="0" applyNumberFormat="1" applyFont="1" applyFill="1" applyBorder="1" applyAlignment="1">
      <alignment horizontal="center"/>
    </xf>
    <xf numFmtId="0" fontId="11" fillId="0" borderId="22" xfId="73" applyFont="1" applyFill="1" applyBorder="1" applyAlignment="1">
      <alignment horizontal="center"/>
    </xf>
    <xf numFmtId="0" fontId="15" fillId="3" borderId="22" xfId="33" applyFont="1" applyFill="1" applyBorder="1" applyAlignment="1">
      <alignment vertical="center" wrapText="1"/>
    </xf>
    <xf numFmtId="166" fontId="15" fillId="3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right" vertical="center"/>
    </xf>
    <xf numFmtId="0" fontId="15" fillId="3" borderId="24" xfId="33" applyNumberFormat="1" applyFont="1" applyFill="1" applyBorder="1" applyAlignment="1">
      <alignment horizontal="center" vertical="center" wrapText="1"/>
    </xf>
    <xf numFmtId="166" fontId="15" fillId="3" borderId="24" xfId="33" applyNumberFormat="1" applyFont="1" applyFill="1" applyBorder="1" applyAlignment="1">
      <alignment horizontal="center" vertical="center" wrapText="1"/>
    </xf>
    <xf numFmtId="166" fontId="15" fillId="3" borderId="24" xfId="0" applyNumberFormat="1" applyFont="1" applyFill="1" applyBorder="1" applyAlignment="1">
      <alignment horizontal="center" vertical="center" wrapText="1"/>
    </xf>
    <xf numFmtId="0" fontId="17" fillId="2" borderId="0" xfId="34" applyFont="1" applyFill="1" applyAlignment="1">
      <alignment horizontal="center" vertical="center" wrapText="1"/>
    </xf>
    <xf numFmtId="0" fontId="7" fillId="2" borderId="1" xfId="38" applyFont="1" applyFill="1" applyBorder="1" applyAlignment="1">
      <alignment horizontal="center" vertical="center" wrapText="1"/>
    </xf>
    <xf numFmtId="0" fontId="7" fillId="2" borderId="5" xfId="38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75" fontId="15" fillId="3" borderId="24" xfId="0" applyNumberFormat="1" applyFont="1" applyFill="1" applyBorder="1" applyAlignment="1">
      <alignment horizontal="right" vertical="center"/>
    </xf>
    <xf numFmtId="9" fontId="7" fillId="0" borderId="24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/>
    </xf>
    <xf numFmtId="0" fontId="7" fillId="0" borderId="24" xfId="35" applyFont="1" applyFill="1" applyBorder="1" applyAlignment="1">
      <alignment horizontal="center"/>
    </xf>
    <xf numFmtId="2" fontId="7" fillId="0" borderId="24" xfId="35" applyNumberFormat="1" applyFont="1" applyFill="1" applyBorder="1" applyAlignment="1">
      <alignment horizontal="center"/>
    </xf>
    <xf numFmtId="0" fontId="7" fillId="0" borderId="24" xfId="46" applyFont="1" applyFill="1" applyBorder="1" applyAlignment="1">
      <alignment horizontal="center" vertical="center" wrapText="1"/>
    </xf>
    <xf numFmtId="43" fontId="15" fillId="0" borderId="24" xfId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43" fontId="2" fillId="3" borderId="24" xfId="1" applyFont="1" applyFill="1" applyBorder="1" applyAlignment="1">
      <alignment vertical="center" wrapText="1"/>
    </xf>
    <xf numFmtId="0" fontId="7" fillId="0" borderId="24" xfId="35" applyFont="1" applyFill="1" applyBorder="1" applyAlignment="1">
      <alignment horizontal="left" vertical="center" wrapText="1"/>
    </xf>
    <xf numFmtId="43" fontId="7" fillId="0" borderId="24" xfId="1" applyFont="1" applyFill="1" applyBorder="1" applyAlignment="1">
      <alignment horizontal="center" vertical="center" wrapText="1"/>
    </xf>
    <xf numFmtId="168" fontId="7" fillId="0" borderId="24" xfId="35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43" fontId="5" fillId="0" borderId="24" xfId="1" applyFont="1" applyFill="1" applyBorder="1" applyAlignment="1">
      <alignment horizontal="center" vertical="center"/>
    </xf>
    <xf numFmtId="0" fontId="7" fillId="0" borderId="24" xfId="38" applyFont="1" applyFill="1" applyBorder="1" applyAlignment="1">
      <alignment horizontal="center" vertical="center"/>
    </xf>
    <xf numFmtId="166" fontId="5" fillId="0" borderId="24" xfId="0" applyNumberFormat="1" applyFont="1" applyFill="1" applyBorder="1" applyAlignment="1">
      <alignment horizontal="center" vertical="center"/>
    </xf>
    <xf numFmtId="0" fontId="7" fillId="0" borderId="24" xfId="38" applyFont="1" applyFill="1" applyBorder="1" applyAlignment="1">
      <alignment horizontal="left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7" fillId="0" borderId="24" xfId="38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3" fontId="11" fillId="0" borderId="24" xfId="1" applyFont="1" applyFill="1" applyBorder="1" applyAlignment="1">
      <alignment horizontal="center" vertical="center" wrapText="1"/>
    </xf>
    <xf numFmtId="0" fontId="15" fillId="3" borderId="24" xfId="38" applyFont="1" applyFill="1" applyBorder="1" applyAlignment="1">
      <alignment horizontal="center" vertical="center" wrapText="1"/>
    </xf>
    <xf numFmtId="0" fontId="15" fillId="3" borderId="24" xfId="38" applyFont="1" applyFill="1" applyBorder="1" applyAlignment="1">
      <alignment horizontal="left" vertical="center" wrapText="1"/>
    </xf>
    <xf numFmtId="166" fontId="15" fillId="3" borderId="24" xfId="38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/>
    </xf>
    <xf numFmtId="43" fontId="5" fillId="3" borderId="24" xfId="1" applyFont="1" applyFill="1" applyBorder="1" applyAlignment="1">
      <alignment horizontal="center" vertical="center"/>
    </xf>
    <xf numFmtId="0" fontId="15" fillId="3" borderId="24" xfId="38" applyFont="1" applyFill="1" applyBorder="1" applyAlignment="1">
      <alignment horizontal="center" vertical="center"/>
    </xf>
    <xf numFmtId="2" fontId="15" fillId="3" borderId="24" xfId="38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4" fontId="15" fillId="3" borderId="24" xfId="72" applyNumberFormat="1" applyFont="1" applyFill="1" applyBorder="1" applyAlignment="1">
      <alignment horizontal="center" vertical="center" wrapText="1"/>
    </xf>
    <xf numFmtId="43" fontId="15" fillId="3" borderId="24" xfId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left" vertical="center"/>
    </xf>
    <xf numFmtId="4" fontId="7" fillId="0" borderId="1" xfId="38" applyNumberFormat="1" applyFont="1" applyFill="1" applyBorder="1" applyAlignment="1">
      <alignment horizontal="center" vertical="center" wrapText="1"/>
    </xf>
    <xf numFmtId="167" fontId="95" fillId="0" borderId="15" xfId="74" applyNumberFormat="1" applyFont="1" applyFill="1" applyBorder="1" applyAlignment="1">
      <alignment horizontal="center" vertical="center"/>
    </xf>
    <xf numFmtId="2" fontId="78" fillId="0" borderId="22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2" fontId="7" fillId="0" borderId="22" xfId="35" applyNumberFormat="1" applyFont="1" applyFill="1" applyBorder="1" applyAlignment="1">
      <alignment horizontal="center" vertical="center"/>
    </xf>
    <xf numFmtId="167" fontId="7" fillId="0" borderId="1" xfId="46" applyNumberFormat="1" applyFont="1" applyFill="1" applyBorder="1" applyAlignment="1">
      <alignment horizontal="center" vertical="center" wrapText="1"/>
    </xf>
    <xf numFmtId="2" fontId="92" fillId="0" borderId="22" xfId="0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3" xfId="38" applyFont="1" applyFill="1" applyBorder="1" applyAlignment="1">
      <alignment horizontal="center" vertical="center" wrapText="1"/>
    </xf>
    <xf numFmtId="0" fontId="11" fillId="2" borderId="25" xfId="34" applyFont="1" applyFill="1" applyBorder="1" applyAlignment="1">
      <alignment horizontal="left" vertical="center" wrapText="1"/>
    </xf>
    <xf numFmtId="4" fontId="7" fillId="2" borderId="24" xfId="38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6" fillId="0" borderId="1" xfId="33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/>
    </xf>
    <xf numFmtId="0" fontId="11" fillId="0" borderId="14" xfId="73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/>
    </xf>
    <xf numFmtId="2" fontId="76" fillId="0" borderId="22" xfId="0" applyNumberFormat="1" applyFont="1" applyFill="1" applyBorder="1" applyAlignment="1">
      <alignment horizontal="center" vertical="center"/>
    </xf>
    <xf numFmtId="2" fontId="15" fillId="3" borderId="24" xfId="33" applyNumberFormat="1" applyFont="1" applyFill="1" applyBorder="1" applyAlignment="1">
      <alignment horizontal="center" vertical="center"/>
    </xf>
    <xf numFmtId="0" fontId="26" fillId="0" borderId="24" xfId="33" applyFont="1" applyFill="1" applyBorder="1" applyAlignment="1">
      <alignment horizontal="center" vertical="center" wrapText="1"/>
    </xf>
    <xf numFmtId="0" fontId="7" fillId="0" borderId="24" xfId="55" applyFont="1" applyFill="1" applyBorder="1" applyAlignment="1">
      <alignment horizontal="center" vertical="center"/>
    </xf>
    <xf numFmtId="0" fontId="7" fillId="0" borderId="24" xfId="55" applyNumberFormat="1" applyFont="1" applyFill="1" applyBorder="1" applyAlignment="1">
      <alignment horizontal="center" vertical="center"/>
    </xf>
    <xf numFmtId="166" fontId="7" fillId="0" borderId="24" xfId="55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4" fontId="6" fillId="0" borderId="22" xfId="0" applyNumberFormat="1" applyFont="1" applyFill="1" applyBorder="1" applyAlignment="1">
      <alignment horizontal="center" vertical="center"/>
    </xf>
    <xf numFmtId="166" fontId="102" fillId="0" borderId="22" xfId="0" applyNumberFormat="1" applyFont="1" applyFill="1" applyBorder="1" applyAlignment="1">
      <alignment horizontal="center" vertical="center"/>
    </xf>
    <xf numFmtId="0" fontId="7" fillId="0" borderId="24" xfId="23" applyFont="1" applyFill="1" applyBorder="1" applyAlignment="1">
      <alignment horizontal="center" vertical="center" wrapText="1"/>
    </xf>
    <xf numFmtId="0" fontId="38" fillId="0" borderId="24" xfId="33" applyFont="1" applyFill="1" applyBorder="1" applyAlignment="1">
      <alignment horizontal="left" vertical="center" wrapText="1"/>
    </xf>
    <xf numFmtId="0" fontId="38" fillId="0" borderId="24" xfId="33" applyFont="1" applyFill="1" applyBorder="1" applyAlignment="1">
      <alignment horizontal="center" vertical="center" wrapText="1"/>
    </xf>
    <xf numFmtId="2" fontId="38" fillId="0" borderId="24" xfId="0" applyNumberFormat="1" applyFont="1" applyFill="1" applyBorder="1" applyAlignment="1">
      <alignment horizontal="center" vertical="center" wrapText="1"/>
    </xf>
    <xf numFmtId="0" fontId="26" fillId="0" borderId="24" xfId="33" applyFont="1" applyFill="1" applyBorder="1" applyAlignment="1">
      <alignment vertical="center" wrapText="1"/>
    </xf>
    <xf numFmtId="0" fontId="28" fillId="0" borderId="24" xfId="65" quotePrefix="1" applyNumberFormat="1" applyFont="1" applyFill="1" applyBorder="1" applyAlignment="1">
      <alignment horizontal="center" vertical="center" wrapText="1"/>
    </xf>
    <xf numFmtId="0" fontId="38" fillId="0" borderId="24" xfId="65" applyNumberFormat="1" applyFont="1" applyFill="1" applyBorder="1" applyAlignment="1">
      <alignment horizontal="center" vertical="center" wrapText="1"/>
    </xf>
    <xf numFmtId="0" fontId="99" fillId="0" borderId="24" xfId="65" quotePrefix="1" applyNumberFormat="1" applyFont="1" applyFill="1" applyBorder="1" applyAlignment="1">
      <alignment horizontal="center" vertical="center" wrapText="1"/>
    </xf>
    <xf numFmtId="2" fontId="99" fillId="0" borderId="24" xfId="65" quotePrefix="1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left" vertical="center" wrapText="1"/>
    </xf>
    <xf numFmtId="0" fontId="104" fillId="0" borderId="24" xfId="65" applyNumberFormat="1" applyFont="1" applyFill="1" applyBorder="1" applyAlignment="1">
      <alignment horizontal="center" vertical="center" wrapText="1"/>
    </xf>
    <xf numFmtId="2" fontId="99" fillId="0" borderId="24" xfId="0" applyNumberFormat="1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left" vertical="center" wrapText="1"/>
    </xf>
    <xf numFmtId="2" fontId="99" fillId="0" borderId="24" xfId="0" applyNumberFormat="1" applyFont="1" applyFill="1" applyBorder="1" applyAlignment="1">
      <alignment horizontal="right" vertical="center"/>
    </xf>
    <xf numFmtId="0" fontId="108" fillId="0" borderId="24" xfId="65" quotePrefix="1" applyNumberFormat="1" applyFont="1" applyFill="1" applyBorder="1" applyAlignment="1">
      <alignment horizontal="center" vertical="center" wrapText="1"/>
    </xf>
    <xf numFmtId="0" fontId="109" fillId="0" borderId="24" xfId="65" quotePrefix="1" applyNumberFormat="1" applyFont="1" applyFill="1" applyBorder="1" applyAlignment="1">
      <alignment horizontal="center" vertical="center" wrapText="1"/>
    </xf>
    <xf numFmtId="2" fontId="109" fillId="0" borderId="24" xfId="65" quotePrefix="1" applyNumberFormat="1" applyFont="1" applyFill="1" applyBorder="1" applyAlignment="1">
      <alignment horizontal="center" vertical="center" wrapText="1"/>
    </xf>
    <xf numFmtId="166" fontId="38" fillId="0" borderId="24" xfId="0" applyNumberFormat="1" applyFont="1" applyFill="1" applyBorder="1" applyAlignment="1">
      <alignment horizontal="center" vertical="center" wrapText="1"/>
    </xf>
    <xf numFmtId="0" fontId="11" fillId="0" borderId="24" xfId="73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2" fontId="11" fillId="0" borderId="24" xfId="73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Border="1"/>
    <xf numFmtId="2" fontId="86" fillId="0" borderId="2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0" fillId="0" borderId="24" xfId="0" applyBorder="1" applyAlignment="1">
      <alignment vertical="center" wrapText="1"/>
    </xf>
    <xf numFmtId="0" fontId="11" fillId="0" borderId="24" xfId="0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horizontal="center" vertical="center" wrapText="1"/>
    </xf>
    <xf numFmtId="167" fontId="11" fillId="0" borderId="24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7" fillId="0" borderId="24" xfId="36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43" fontId="7" fillId="0" borderId="24" xfId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40" fillId="0" borderId="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35" applyFont="1" applyFill="1" applyAlignment="1">
      <alignment vertical="center"/>
    </xf>
    <xf numFmtId="0" fontId="10" fillId="2" borderId="0" xfId="35" applyFont="1" applyFill="1" applyAlignment="1">
      <alignment vertical="center"/>
    </xf>
    <xf numFmtId="0" fontId="10" fillId="0" borderId="0" xfId="38" applyFont="1" applyFill="1" applyAlignment="1">
      <alignment vertical="center"/>
    </xf>
    <xf numFmtId="0" fontId="10" fillId="2" borderId="0" xfId="38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6" fontId="10" fillId="0" borderId="2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10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43" fontId="4" fillId="3" borderId="24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0" borderId="24" xfId="0" applyFont="1" applyFill="1" applyBorder="1" applyAlignment="1">
      <alignment horizontal="left" vertical="center"/>
    </xf>
    <xf numFmtId="0" fontId="7" fillId="3" borderId="24" xfId="0" applyNumberFormat="1" applyFont="1" applyFill="1" applyBorder="1" applyAlignment="1">
      <alignment horizontal="center" vertical="center" wrapText="1"/>
    </xf>
    <xf numFmtId="166" fontId="7" fillId="3" borderId="24" xfId="0" applyNumberFormat="1" applyFont="1" applyFill="1" applyBorder="1" applyAlignment="1">
      <alignment horizontal="center" vertical="center" wrapText="1"/>
    </xf>
    <xf numFmtId="2" fontId="7" fillId="3" borderId="24" xfId="0" applyNumberFormat="1" applyFont="1" applyFill="1" applyBorder="1" applyAlignment="1">
      <alignment horizontal="center" vertical="center" wrapText="1"/>
    </xf>
    <xf numFmtId="2" fontId="7" fillId="3" borderId="24" xfId="0" applyNumberFormat="1" applyFont="1" applyFill="1" applyBorder="1" applyAlignment="1">
      <alignment horizontal="center" vertical="center"/>
    </xf>
    <xf numFmtId="0" fontId="111" fillId="3" borderId="24" xfId="0" applyFont="1" applyFill="1" applyBorder="1" applyAlignment="1">
      <alignment horizontal="center" vertical="center" wrapText="1"/>
    </xf>
    <xf numFmtId="0" fontId="111" fillId="3" borderId="24" xfId="33" applyFont="1" applyFill="1" applyBorder="1" applyAlignment="1">
      <alignment horizontal="center" vertical="center" wrapText="1"/>
    </xf>
    <xf numFmtId="0" fontId="111" fillId="3" borderId="24" xfId="35" applyFont="1" applyFill="1" applyBorder="1" applyAlignment="1">
      <alignment horizontal="center"/>
    </xf>
    <xf numFmtId="2" fontId="111" fillId="3" borderId="24" xfId="33" applyNumberFormat="1" applyFont="1" applyFill="1" applyBorder="1" applyAlignment="1">
      <alignment horizontal="center" vertical="center" wrapText="1"/>
    </xf>
    <xf numFmtId="2" fontId="111" fillId="3" borderId="24" xfId="0" applyNumberFormat="1" applyFont="1" applyFill="1" applyBorder="1" applyAlignment="1">
      <alignment horizontal="center" vertical="center" wrapText="1"/>
    </xf>
    <xf numFmtId="0" fontId="113" fillId="0" borderId="0" xfId="0" applyFont="1"/>
    <xf numFmtId="0" fontId="114" fillId="0" borderId="24" xfId="0" applyFont="1" applyFill="1" applyBorder="1" applyAlignment="1">
      <alignment horizontal="center" vertical="center" wrapText="1"/>
    </xf>
    <xf numFmtId="0" fontId="114" fillId="0" borderId="24" xfId="33" applyFont="1" applyFill="1" applyBorder="1" applyAlignment="1">
      <alignment horizontal="center" vertical="center" wrapText="1"/>
    </xf>
    <xf numFmtId="2" fontId="114" fillId="0" borderId="24" xfId="0" applyNumberFormat="1" applyFont="1" applyFill="1" applyBorder="1" applyAlignment="1">
      <alignment horizontal="center" vertical="center" wrapText="1"/>
    </xf>
    <xf numFmtId="0" fontId="113" fillId="0" borderId="0" xfId="0" applyFont="1" applyFill="1"/>
    <xf numFmtId="0" fontId="114" fillId="0" borderId="24" xfId="0" applyFont="1" applyFill="1" applyBorder="1" applyAlignment="1">
      <alignment horizontal="left" vertical="center" wrapText="1"/>
    </xf>
    <xf numFmtId="0" fontId="114" fillId="0" borderId="24" xfId="35" applyFont="1" applyFill="1" applyBorder="1" applyAlignment="1">
      <alignment horizontal="center"/>
    </xf>
    <xf numFmtId="0" fontId="114" fillId="0" borderId="15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6" fillId="2" borderId="0" xfId="0" applyFont="1" applyFill="1" applyAlignment="1">
      <alignment horizontal="left" vertical="center" wrapText="1"/>
    </xf>
    <xf numFmtId="0" fontId="28" fillId="3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/>
    </xf>
    <xf numFmtId="166" fontId="11" fillId="0" borderId="24" xfId="0" applyNumberFormat="1" applyFont="1" applyBorder="1" applyAlignment="1">
      <alignment horizontal="center"/>
    </xf>
    <xf numFmtId="166" fontId="11" fillId="0" borderId="2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2" fontId="7" fillId="0" borderId="15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 wrapText="1"/>
    </xf>
    <xf numFmtId="166" fontId="7" fillId="0" borderId="1" xfId="33" applyNumberFormat="1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/>
    </xf>
    <xf numFmtId="2" fontId="7" fillId="0" borderId="14" xfId="33" applyNumberFormat="1" applyFont="1" applyFill="1" applyBorder="1" applyAlignment="1">
      <alignment horizontal="center" vertical="center" wrapText="1"/>
    </xf>
    <xf numFmtId="2" fontId="7" fillId="0" borderId="22" xfId="33" applyNumberFormat="1" applyFont="1" applyFill="1" applyBorder="1" applyAlignment="1">
      <alignment horizontal="center"/>
    </xf>
    <xf numFmtId="166" fontId="114" fillId="0" borderId="24" xfId="33" applyNumberFormat="1" applyFont="1" applyFill="1" applyBorder="1" applyAlignment="1">
      <alignment horizontal="center" vertical="center" wrapText="1"/>
    </xf>
    <xf numFmtId="178" fontId="114" fillId="0" borderId="24" xfId="0" applyNumberFormat="1" applyFont="1" applyFill="1" applyBorder="1" applyAlignment="1">
      <alignment horizontal="right"/>
    </xf>
    <xf numFmtId="179" fontId="114" fillId="0" borderId="24" xfId="0" applyNumberFormat="1" applyFont="1" applyFill="1" applyBorder="1" applyAlignment="1">
      <alignment horizontal="right"/>
    </xf>
    <xf numFmtId="179" fontId="7" fillId="0" borderId="24" xfId="0" applyNumberFormat="1" applyFont="1" applyFill="1" applyBorder="1" applyAlignment="1">
      <alignment horizontal="right"/>
    </xf>
    <xf numFmtId="166" fontId="7" fillId="0" borderId="24" xfId="55" applyNumberFormat="1" applyFont="1" applyFill="1" applyBorder="1" applyAlignment="1">
      <alignment horizontal="center" vertical="center"/>
    </xf>
    <xf numFmtId="0" fontId="15" fillId="3" borderId="24" xfId="35" applyFont="1" applyFill="1" applyBorder="1" applyAlignment="1">
      <alignment vertical="center" wrapText="1"/>
    </xf>
    <xf numFmtId="0" fontId="15" fillId="3" borderId="24" xfId="35" applyFont="1" applyFill="1" applyBorder="1" applyAlignment="1">
      <alignment horizontal="center" vertical="center" wrapText="1"/>
    </xf>
    <xf numFmtId="0" fontId="15" fillId="3" borderId="24" xfId="35" applyFont="1" applyFill="1" applyBorder="1" applyAlignment="1">
      <alignment horizontal="center"/>
    </xf>
    <xf numFmtId="2" fontId="15" fillId="3" borderId="24" xfId="35" applyNumberFormat="1" applyFont="1" applyFill="1" applyBorder="1" applyAlignment="1">
      <alignment horizontal="center"/>
    </xf>
    <xf numFmtId="0" fontId="15" fillId="3" borderId="24" xfId="46" applyFont="1" applyFill="1" applyBorder="1" applyAlignment="1">
      <alignment horizontal="center" vertical="center" wrapText="1"/>
    </xf>
    <xf numFmtId="0" fontId="15" fillId="3" borderId="24" xfId="35" applyFont="1" applyFill="1" applyBorder="1" applyAlignment="1">
      <alignment horizontal="left" vertical="center" wrapText="1"/>
    </xf>
    <xf numFmtId="2" fontId="15" fillId="3" borderId="24" xfId="35" applyNumberFormat="1" applyFont="1" applyFill="1" applyBorder="1" applyAlignment="1">
      <alignment horizontal="center" vertical="center"/>
    </xf>
    <xf numFmtId="0" fontId="7" fillId="3" borderId="24" xfId="46" applyFont="1" applyFill="1" applyBorder="1" applyAlignment="1">
      <alignment horizontal="center" vertical="center" wrapText="1"/>
    </xf>
    <xf numFmtId="0" fontId="10" fillId="0" borderId="24" xfId="0" applyFont="1" applyFill="1" applyBorder="1"/>
    <xf numFmtId="0" fontId="15" fillId="2" borderId="24" xfId="0" applyFont="1" applyFill="1" applyBorder="1" applyAlignment="1">
      <alignment horizontal="center" vertical="center" wrapText="1"/>
    </xf>
    <xf numFmtId="0" fontId="7" fillId="2" borderId="24" xfId="33" applyFont="1" applyFill="1" applyBorder="1" applyAlignment="1">
      <alignment horizontal="left" vertical="center" wrapText="1"/>
    </xf>
    <xf numFmtId="166" fontId="7" fillId="2" borderId="2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/>
    </xf>
    <xf numFmtId="0" fontId="7" fillId="0" borderId="24" xfId="0" applyFont="1" applyFill="1" applyBorder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56" fillId="0" borderId="0" xfId="64" applyFont="1" applyAlignment="1">
      <alignment horizontal="center" vertical="center"/>
    </xf>
    <xf numFmtId="0" fontId="53" fillId="0" borderId="0" xfId="64" applyFont="1" applyAlignment="1">
      <alignment horizontal="center" vertical="center"/>
    </xf>
    <xf numFmtId="0" fontId="51" fillId="0" borderId="0" xfId="64" applyFont="1" applyAlignment="1">
      <alignment horizontal="center" vertical="center"/>
    </xf>
    <xf numFmtId="0" fontId="51" fillId="0" borderId="0" xfId="64" applyFont="1" applyAlignment="1">
      <alignment horizontal="right" vertical="center"/>
    </xf>
    <xf numFmtId="4" fontId="51" fillId="0" borderId="0" xfId="64" applyNumberFormat="1" applyFont="1" applyAlignment="1">
      <alignment horizontal="center" vertical="center"/>
    </xf>
    <xf numFmtId="0" fontId="51" fillId="0" borderId="0" xfId="32" applyFont="1" applyAlignment="1">
      <alignment horizontal="left" vertical="center" wrapText="1"/>
    </xf>
    <xf numFmtId="0" fontId="51" fillId="0" borderId="0" xfId="32" applyFont="1" applyAlignment="1">
      <alignment horizontal="left" vertical="center"/>
    </xf>
    <xf numFmtId="0" fontId="29" fillId="0" borderId="0" xfId="32" applyFont="1" applyAlignment="1">
      <alignment horizontal="left" vertical="center" wrapText="1"/>
    </xf>
    <xf numFmtId="164" fontId="51" fillId="0" borderId="0" xfId="10" applyFont="1" applyAlignment="1">
      <alignment horizontal="center" vertical="center"/>
    </xf>
    <xf numFmtId="0" fontId="51" fillId="0" borderId="0" xfId="32" applyFont="1" applyAlignment="1">
      <alignment horizontal="center" vertical="center"/>
    </xf>
    <xf numFmtId="0" fontId="52" fillId="0" borderId="0" xfId="32" applyFont="1" applyAlignment="1">
      <alignment horizontal="center" vertical="center" wrapText="1"/>
    </xf>
    <xf numFmtId="0" fontId="53" fillId="0" borderId="0" xfId="32" applyFont="1" applyAlignment="1">
      <alignment horizontal="center" vertical="center"/>
    </xf>
    <xf numFmtId="0" fontId="52" fillId="0" borderId="0" xfId="32" applyFont="1" applyAlignment="1">
      <alignment horizontal="left" vertical="center" wrapText="1"/>
    </xf>
    <xf numFmtId="0" fontId="17" fillId="2" borderId="0" xfId="34" applyFont="1" applyFill="1" applyAlignment="1">
      <alignment horizontal="center" vertical="center" wrapText="1"/>
    </xf>
    <xf numFmtId="0" fontId="17" fillId="2" borderId="0" xfId="38" applyFont="1" applyFill="1" applyAlignment="1">
      <alignment horizontal="center" wrapText="1"/>
    </xf>
    <xf numFmtId="0" fontId="7" fillId="2" borderId="0" xfId="38" applyFont="1" applyFill="1" applyBorder="1" applyAlignment="1">
      <alignment horizontal="right" wrapText="1"/>
    </xf>
    <xf numFmtId="0" fontId="7" fillId="2" borderId="5" xfId="38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0" fontId="7" fillId="2" borderId="6" xfId="38" applyFont="1" applyFill="1" applyBorder="1" applyAlignment="1">
      <alignment horizontal="center" vertical="center" wrapText="1"/>
    </xf>
    <xf numFmtId="0" fontId="7" fillId="2" borderId="1" xfId="38" applyFont="1" applyFill="1" applyBorder="1" applyAlignment="1">
      <alignment horizontal="center" vertical="center" wrapText="1"/>
    </xf>
    <xf numFmtId="0" fontId="15" fillId="0" borderId="0" xfId="55" applyFont="1" applyFill="1" applyAlignment="1">
      <alignment horizontal="center" vertical="center" wrapText="1"/>
    </xf>
    <xf numFmtId="0" fontId="15" fillId="0" borderId="0" xfId="55" applyNumberFormat="1" applyFont="1" applyFill="1" applyAlignment="1">
      <alignment horizontal="center" vertical="center" wrapText="1"/>
    </xf>
    <xf numFmtId="43" fontId="15" fillId="0" borderId="0" xfId="1" applyFont="1" applyFill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</xf>
    <xf numFmtId="0" fontId="7" fillId="0" borderId="0" xfId="55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3" fontId="7" fillId="0" borderId="4" xfId="0" applyNumberFormat="1" applyFont="1" applyFill="1" applyBorder="1" applyAlignment="1">
      <alignment horizontal="center" vertical="center" wrapText="1"/>
    </xf>
    <xf numFmtId="173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9" xfId="0" quotePrefix="1" applyFont="1" applyFill="1" applyBorder="1" applyAlignment="1">
      <alignment horizontal="left" vertical="center" wrapText="1"/>
    </xf>
    <xf numFmtId="2" fontId="38" fillId="0" borderId="22" xfId="1" applyNumberFormat="1" applyFont="1" applyFill="1" applyBorder="1" applyAlignment="1">
      <alignment horizontal="center" vertical="center"/>
    </xf>
    <xf numFmtId="2" fontId="99" fillId="0" borderId="22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11" fillId="0" borderId="24" xfId="1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19" xfId="1" applyNumberFormat="1" applyFont="1" applyFill="1" applyBorder="1" applyAlignment="1">
      <alignment horizontal="center" vertical="center" wrapText="1"/>
    </xf>
    <xf numFmtId="2" fontId="11" fillId="2" borderId="19" xfId="1" applyNumberFormat="1" applyFont="1" applyFill="1" applyBorder="1" applyAlignment="1">
      <alignment horizontal="center" vertical="center" wrapText="1"/>
    </xf>
  </cellXfs>
  <cellStyles count="75">
    <cellStyle name="Comma" xfId="1" builtinId="3"/>
    <cellStyle name="Comma 2" xfId="14"/>
    <cellStyle name="Comma 2 2" xfId="12"/>
    <cellStyle name="Comma 2 2 2" xfId="15"/>
    <cellStyle name="Comma 2 3" xfId="13"/>
    <cellStyle name="Comma 3" xfId="16"/>
    <cellStyle name="Comma 3 2" xfId="17"/>
    <cellStyle name="Comma 4" xfId="18"/>
    <cellStyle name="Comma 5" xfId="19"/>
    <cellStyle name="Comma 6" xfId="9"/>
    <cellStyle name="Comma 6 2" xfId="6"/>
    <cellStyle name="Currency 2" xfId="11"/>
    <cellStyle name="Currency 2 2" xfId="5"/>
    <cellStyle name="Currency 2 3" xfId="8"/>
    <cellStyle name="Currency_McxeTa BOQ - File. 17.05.2010 2" xfId="10"/>
    <cellStyle name="Euro" xfId="2"/>
    <cellStyle name="Hyperlink 2" xfId="20"/>
    <cellStyle name="Hyperlink 2 2" xfId="21"/>
    <cellStyle name="Hyperlink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4 3" xfId="28"/>
    <cellStyle name="Normal 2" xfId="29"/>
    <cellStyle name="Normal 2 11" xfId="30"/>
    <cellStyle name="Normal 2 11 2" xfId="72"/>
    <cellStyle name="Normal 2 2" xfId="31"/>
    <cellStyle name="Normal 2 2 2" xfId="33"/>
    <cellStyle name="Normal 2 2 3" xfId="34"/>
    <cellStyle name="Normal 2 2 4" xfId="35"/>
    <cellStyle name="Normal 2 3" xfId="36"/>
    <cellStyle name="Normal 2 3 2" xfId="37"/>
    <cellStyle name="Normal 2 4" xfId="38"/>
    <cellStyle name="Normal 2 4 2" xfId="39"/>
    <cellStyle name="Normal 2 5" xfId="40"/>
    <cellStyle name="Normal 2_SItBOS MODINEBA" xfId="41"/>
    <cellStyle name="Normal 29" xfId="74"/>
    <cellStyle name="Normal 3" xfId="42"/>
    <cellStyle name="Normal 3 2" xfId="43"/>
    <cellStyle name="Normal 3 2 2" xfId="44"/>
    <cellStyle name="Normal 3 3" xfId="46"/>
    <cellStyle name="Normal 3 3 2" xfId="47"/>
    <cellStyle name="Normal 3 4" xfId="48"/>
    <cellStyle name="Normal 4" xfId="49"/>
    <cellStyle name="Normal 4 2" xfId="50"/>
    <cellStyle name="Normal 4 2 2" xfId="51"/>
    <cellStyle name="Normal 4 2 3" xfId="52"/>
    <cellStyle name="Normal 4 3" xfId="53"/>
    <cellStyle name="Normal 4 4" xfId="54"/>
    <cellStyle name="Normal 5" xfId="55"/>
    <cellStyle name="Normal 5 2" xfId="56"/>
    <cellStyle name="Normal 5 2 2" xfId="57"/>
    <cellStyle name="Normal 5 2 3" xfId="3"/>
    <cellStyle name="Normal 5 3" xfId="7"/>
    <cellStyle name="Normal 6" xfId="58"/>
    <cellStyle name="Normal 6 2" xfId="59"/>
    <cellStyle name="Normal 6 3" xfId="4"/>
    <cellStyle name="Normal 6 4" xfId="60"/>
    <cellStyle name="Normal 7" xfId="61"/>
    <cellStyle name="Normal 8" xfId="62"/>
    <cellStyle name="Normal 9" xfId="63"/>
    <cellStyle name="Normal_#10 saxli, samxedro kalaki(1). 30.03.2010.-Final+++" xfId="64"/>
    <cellStyle name="Normal_gare wyalsadfenigagarini" xfId="73"/>
    <cellStyle name="Normal_McxeTa BOQ - File. 17.05.2010" xfId="32"/>
    <cellStyle name="Normal_stadion-1" xfId="65"/>
    <cellStyle name="Percent 2" xfId="66"/>
    <cellStyle name="Style 1" xfId="67"/>
    <cellStyle name="Обычный 2" xfId="68"/>
    <cellStyle name="Обычный 4 2" xfId="69"/>
    <cellStyle name="Обычный_SAN2008-I" xfId="45"/>
    <cellStyle name="ჩვეულებრივი 2" xfId="70"/>
    <cellStyle name="ჩვეულებრივი 3" xfId="71"/>
  </cellStyles>
  <dxfs count="0"/>
  <tableStyles count="0" defaultTableStyle="TableStyleMedium9" defaultPivotStyle="PivotStyleLight16"/>
  <colors>
    <mruColors>
      <color rgb="FF22FC04"/>
      <color rgb="FFFF00FF"/>
      <color rgb="FFFFA285"/>
      <color rgb="FF926F00"/>
      <color rgb="FF5D2884"/>
      <color rgb="FF000000"/>
      <color rgb="FF7A5128"/>
      <color rgb="FFBEBE02"/>
      <color rgb="FFBA84B1"/>
      <color rgb="FF868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579120</xdr:colOff>
      <xdr:row>20</xdr:row>
      <xdr:rowOff>144780</xdr:rowOff>
    </xdr:from>
    <xdr:to>
      <xdr:col>8</xdr:col>
      <xdr:colOff>228600</xdr:colOff>
      <xdr:row>26</xdr:row>
      <xdr:rowOff>22860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1340" y="4305300"/>
          <a:ext cx="2141220" cy="1112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228600</xdr:rowOff>
    </xdr:from>
    <xdr:to>
      <xdr:col>7</xdr:col>
      <xdr:colOff>266700</xdr:colOff>
      <xdr:row>14</xdr:row>
      <xdr:rowOff>15240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9360" y="4366260"/>
          <a:ext cx="2141220" cy="1112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121328</xdr:colOff>
          <xdr:row>252</xdr:row>
          <xdr:rowOff>32477</xdr:rowOff>
        </xdr:from>
        <xdr:to>
          <xdr:col>12</xdr:col>
          <xdr:colOff>349928</xdr:colOff>
          <xdr:row>253</xdr:row>
          <xdr:rowOff>76348</xdr:rowOff>
        </xdr:to>
        <xdr:sp macro="" textlink="">
          <xdr:nvSpPr>
            <xdr:cNvPr id="54273" name="Control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69</xdr:row>
      <xdr:rowOff>0</xdr:rowOff>
    </xdr:from>
    <xdr:to>
      <xdr:col>4</xdr:col>
      <xdr:colOff>2352</xdr:colOff>
      <xdr:row>72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4435" y="17000220"/>
          <a:ext cx="4257" cy="634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57</xdr:row>
      <xdr:rowOff>0</xdr:rowOff>
    </xdr:from>
    <xdr:to>
      <xdr:col>4</xdr:col>
      <xdr:colOff>2352</xdr:colOff>
      <xdr:row>60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4435" y="14645640"/>
          <a:ext cx="4257" cy="634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121328</xdr:colOff>
          <xdr:row>232</xdr:row>
          <xdr:rowOff>123252</xdr:rowOff>
        </xdr:from>
        <xdr:to>
          <xdr:col>12</xdr:col>
          <xdr:colOff>349928</xdr:colOff>
          <xdr:row>233</xdr:row>
          <xdr:rowOff>167122</xdr:rowOff>
        </xdr:to>
        <xdr:sp macro="" textlink="">
          <xdr:nvSpPr>
            <xdr:cNvPr id="114689" name="Control 1" hidden="1">
              <a:extLst>
                <a:ext uri="{63B3BB69-23CF-44E3-9099-C40C66FF867C}">
                  <a14:compatExt spid="_x0000_s114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9"/>
  <sheetViews>
    <sheetView zoomScaleNormal="100" zoomScaleSheetLayoutView="100" workbookViewId="0">
      <selection activeCell="A11" sqref="A11:N11"/>
    </sheetView>
  </sheetViews>
  <sheetFormatPr defaultColWidth="9" defaultRowHeight="16.2"/>
  <cols>
    <col min="1" max="2" width="9.109375" style="90"/>
    <col min="3" max="3" width="9.44140625" style="90" customWidth="1"/>
    <col min="4" max="4" width="9.109375" style="90"/>
    <col min="5" max="5" width="9" style="90" customWidth="1"/>
    <col min="6" max="11" width="9.109375" style="90"/>
  </cols>
  <sheetData>
    <row r="1" spans="1:14" ht="14.4">
      <c r="A1"/>
      <c r="B1"/>
      <c r="C1"/>
      <c r="D1"/>
      <c r="E1"/>
      <c r="F1"/>
      <c r="G1"/>
      <c r="H1"/>
      <c r="I1"/>
      <c r="J1"/>
      <c r="K1"/>
    </row>
    <row r="2" spans="1:14">
      <c r="A2" s="91"/>
      <c r="B2" s="91"/>
      <c r="C2" s="91"/>
      <c r="D2" s="91"/>
      <c r="E2" s="91"/>
      <c r="F2" s="91"/>
      <c r="G2" s="91"/>
      <c r="H2" s="91"/>
      <c r="I2" s="91"/>
    </row>
    <row r="3" spans="1:14" ht="19.8">
      <c r="F3" s="1143"/>
      <c r="G3" s="1143"/>
      <c r="H3" s="1143"/>
    </row>
    <row r="10" spans="1:14" ht="22.8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4" ht="19.8">
      <c r="A11" s="1144" t="s">
        <v>406</v>
      </c>
      <c r="B11" s="1144"/>
      <c r="C11" s="1144"/>
      <c r="D11" s="1144"/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</row>
    <row r="13" spans="1:14" ht="19.8">
      <c r="A13" s="1143" t="s">
        <v>0</v>
      </c>
      <c r="B13" s="1143"/>
      <c r="C13" s="1143"/>
      <c r="D13" s="1143"/>
      <c r="E13" s="1143"/>
      <c r="F13" s="1143"/>
      <c r="G13" s="1143"/>
      <c r="H13" s="1143"/>
      <c r="I13" s="1143"/>
      <c r="J13" s="1143"/>
      <c r="K13" s="1143"/>
      <c r="L13" s="1143"/>
      <c r="M13" s="1143"/>
      <c r="N13" s="1143"/>
    </row>
    <row r="14" spans="1:14" ht="14.4">
      <c r="A14"/>
      <c r="B14"/>
      <c r="C14"/>
      <c r="D14"/>
      <c r="E14"/>
      <c r="F14"/>
      <c r="G14"/>
      <c r="H14"/>
      <c r="I14"/>
      <c r="J14"/>
      <c r="K14"/>
    </row>
    <row r="28" spans="1:14">
      <c r="A28" s="1145" t="s">
        <v>163</v>
      </c>
      <c r="B28" s="1145"/>
      <c r="C28" s="1145"/>
      <c r="D28" s="1145"/>
      <c r="E28" s="1145"/>
      <c r="F28" s="1145"/>
      <c r="G28" s="1145"/>
      <c r="H28" s="1145"/>
      <c r="I28" s="1145"/>
      <c r="J28" s="1145"/>
      <c r="K28" s="1145"/>
      <c r="L28" s="1145"/>
      <c r="M28" s="1145"/>
      <c r="N28" s="1145"/>
    </row>
    <row r="29" spans="1:14" ht="14.4">
      <c r="A29"/>
      <c r="B29"/>
      <c r="C29"/>
      <c r="D29"/>
      <c r="E29"/>
      <c r="F29"/>
      <c r="G29"/>
      <c r="H29"/>
      <c r="I29"/>
      <c r="J29"/>
      <c r="K29"/>
    </row>
  </sheetData>
  <mergeCells count="4">
    <mergeCell ref="F3:H3"/>
    <mergeCell ref="A11:N11"/>
    <mergeCell ref="A13:N13"/>
    <mergeCell ref="A28:N28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2:O316"/>
  <sheetViews>
    <sheetView topLeftCell="A7" zoomScale="103" zoomScaleNormal="103" zoomScaleSheetLayoutView="100" workbookViewId="0">
      <pane xSplit="15996" topLeftCell="N1"/>
      <selection activeCell="K46" sqref="K46:K47"/>
      <selection pane="topRight" activeCell="M959" sqref="M959"/>
    </sheetView>
  </sheetViews>
  <sheetFormatPr defaultColWidth="9.109375" defaultRowHeight="15"/>
  <cols>
    <col min="1" max="1" width="5" style="62" customWidth="1"/>
    <col min="2" max="2" width="35.44140625" style="19" customWidth="1"/>
    <col min="3" max="3" width="8.44140625" style="51" customWidth="1"/>
    <col min="4" max="4" width="8.5546875" style="190" customWidth="1"/>
    <col min="5" max="5" width="8.6640625" style="190" customWidth="1"/>
    <col min="6" max="6" width="8.88671875" style="191" customWidth="1"/>
    <col min="7" max="7" width="10.44140625" style="191" customWidth="1"/>
    <col min="8" max="8" width="7.33203125" style="191" customWidth="1"/>
    <col min="9" max="9" width="9.33203125" style="191" customWidth="1"/>
    <col min="10" max="10" width="7.88671875" style="263" customWidth="1"/>
    <col min="11" max="11" width="9" style="191" customWidth="1"/>
    <col min="12" max="12" width="10.44140625" style="191" customWidth="1"/>
    <col min="13" max="16384" width="9.109375" style="251"/>
  </cols>
  <sheetData>
    <row r="2" spans="1:12" s="359" customFormat="1" ht="28.5" customHeight="1">
      <c r="A2" s="108"/>
      <c r="B2" s="1163" t="s">
        <v>354</v>
      </c>
      <c r="C2" s="1163"/>
      <c r="D2" s="1164"/>
      <c r="E2" s="1164"/>
      <c r="F2" s="1164"/>
      <c r="G2" s="1164"/>
      <c r="H2" s="1164"/>
      <c r="I2" s="1164"/>
      <c r="J2" s="1165"/>
      <c r="K2" s="109"/>
      <c r="L2" s="109"/>
    </row>
    <row r="3" spans="1:12" s="359" customFormat="1">
      <c r="A3" s="108"/>
      <c r="B3" s="1166" t="s">
        <v>29</v>
      </c>
      <c r="C3" s="1166"/>
      <c r="D3" s="1167"/>
      <c r="E3" s="1167"/>
      <c r="F3" s="1167"/>
      <c r="G3" s="1167"/>
      <c r="H3" s="1167"/>
      <c r="I3" s="1167"/>
      <c r="J3" s="263"/>
      <c r="K3" s="109"/>
      <c r="L3" s="109"/>
    </row>
    <row r="4" spans="1:12" s="276" customFormat="1" ht="15" customHeight="1">
      <c r="A4" s="108"/>
      <c r="B4" s="48"/>
      <c r="C4" s="65"/>
      <c r="D4" s="109"/>
      <c r="E4" s="109"/>
      <c r="F4" s="109"/>
      <c r="G4" s="109"/>
      <c r="H4" s="109"/>
      <c r="I4" s="109"/>
      <c r="J4" s="273"/>
      <c r="K4" s="109"/>
      <c r="L4" s="109"/>
    </row>
    <row r="5" spans="1:12" s="248" customFormat="1" ht="31.5" customHeight="1">
      <c r="A5" s="1170" t="s">
        <v>13</v>
      </c>
      <c r="B5" s="1170" t="s">
        <v>27</v>
      </c>
      <c r="C5" s="1170" t="s">
        <v>161</v>
      </c>
      <c r="D5" s="1171" t="s">
        <v>33</v>
      </c>
      <c r="E5" s="1172"/>
      <c r="F5" s="1168" t="s">
        <v>34</v>
      </c>
      <c r="G5" s="1168"/>
      <c r="H5" s="1168" t="s">
        <v>35</v>
      </c>
      <c r="I5" s="1168"/>
      <c r="J5" s="1169" t="s">
        <v>36</v>
      </c>
      <c r="K5" s="1168"/>
      <c r="L5" s="1173" t="s">
        <v>37</v>
      </c>
    </row>
    <row r="6" spans="1:12" s="248" customFormat="1" ht="38.4" customHeight="1">
      <c r="A6" s="1170"/>
      <c r="B6" s="1170"/>
      <c r="C6" s="1170"/>
      <c r="D6" s="1007" t="s">
        <v>38</v>
      </c>
      <c r="E6" s="1116" t="s">
        <v>40</v>
      </c>
      <c r="F6" s="1007" t="s">
        <v>39</v>
      </c>
      <c r="G6" s="1007" t="s">
        <v>40</v>
      </c>
      <c r="H6" s="1007" t="s">
        <v>39</v>
      </c>
      <c r="I6" s="1007" t="s">
        <v>40</v>
      </c>
      <c r="J6" s="1008" t="s">
        <v>39</v>
      </c>
      <c r="K6" s="1007" t="s">
        <v>40</v>
      </c>
      <c r="L6" s="1174"/>
    </row>
    <row r="7" spans="1:12" s="248" customFormat="1" ht="21" customHeight="1">
      <c r="A7" s="110">
        <v>1</v>
      </c>
      <c r="B7" s="110">
        <v>2</v>
      </c>
      <c r="C7" s="111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97">
        <v>10</v>
      </c>
      <c r="K7" s="112">
        <v>11</v>
      </c>
      <c r="L7" s="112">
        <v>12</v>
      </c>
    </row>
    <row r="8" spans="1:12">
      <c r="A8" s="111"/>
      <c r="B8" s="419" t="s">
        <v>166</v>
      </c>
      <c r="C8" s="1009"/>
      <c r="D8" s="114"/>
      <c r="E8" s="114"/>
      <c r="F8" s="114"/>
      <c r="G8" s="115"/>
      <c r="H8" s="114"/>
      <c r="I8" s="114"/>
      <c r="J8" s="114"/>
      <c r="K8" s="114"/>
      <c r="L8" s="114"/>
    </row>
    <row r="9" spans="1:12" s="200" customFormat="1">
      <c r="A9" s="360"/>
      <c r="B9" s="429" t="s">
        <v>184</v>
      </c>
      <c r="C9" s="360"/>
      <c r="D9" s="423"/>
      <c r="E9" s="385"/>
      <c r="F9" s="424"/>
      <c r="G9" s="398"/>
      <c r="H9" s="424"/>
      <c r="I9" s="361"/>
      <c r="J9" s="424"/>
      <c r="K9" s="424"/>
      <c r="L9" s="361"/>
    </row>
    <row r="10" spans="1:12" s="199" customFormat="1" ht="30">
      <c r="A10" s="311">
        <v>1</v>
      </c>
      <c r="B10" s="314" t="s">
        <v>203</v>
      </c>
      <c r="C10" s="311" t="s">
        <v>151</v>
      </c>
      <c r="D10" s="315"/>
      <c r="E10" s="316">
        <v>79.7</v>
      </c>
      <c r="F10" s="317"/>
      <c r="G10" s="318"/>
      <c r="H10" s="317"/>
      <c r="I10" s="318"/>
      <c r="J10" s="317"/>
      <c r="K10" s="318"/>
      <c r="L10" s="318"/>
    </row>
    <row r="11" spans="1:12" s="200" customFormat="1">
      <c r="A11" s="1009"/>
      <c r="B11" s="117" t="s">
        <v>42</v>
      </c>
      <c r="C11" s="1009" t="s">
        <v>43</v>
      </c>
      <c r="D11" s="119">
        <v>8.2000000000000003E-2</v>
      </c>
      <c r="E11" s="120">
        <f>D11*E10</f>
        <v>6.5354000000000001</v>
      </c>
      <c r="F11" s="121"/>
      <c r="G11" s="611"/>
      <c r="H11" s="121"/>
      <c r="I11" s="70">
        <f>H11*E11</f>
        <v>0</v>
      </c>
      <c r="J11" s="121"/>
      <c r="K11" s="121"/>
      <c r="L11" s="70">
        <f>K11+I11+G11</f>
        <v>0</v>
      </c>
    </row>
    <row r="12" spans="1:12" s="6" customFormat="1" ht="16.2">
      <c r="A12" s="1009"/>
      <c r="B12" s="117" t="s">
        <v>49</v>
      </c>
      <c r="C12" s="1009" t="s">
        <v>2</v>
      </c>
      <c r="D12" s="611">
        <v>5.0000000000000001E-3</v>
      </c>
      <c r="E12" s="121">
        <f>D12*E10</f>
        <v>0.39850000000000002</v>
      </c>
      <c r="F12" s="121"/>
      <c r="G12" s="70"/>
      <c r="H12" s="121"/>
      <c r="I12" s="70"/>
      <c r="J12" s="121"/>
      <c r="K12" s="70">
        <f>J12*E12</f>
        <v>0</v>
      </c>
      <c r="L12" s="123">
        <f>K12+I12+G12</f>
        <v>0</v>
      </c>
    </row>
    <row r="13" spans="1:12" s="199" customFormat="1" ht="30">
      <c r="A13" s="311">
        <v>2</v>
      </c>
      <c r="B13" s="314" t="s">
        <v>170</v>
      </c>
      <c r="C13" s="311" t="s">
        <v>151</v>
      </c>
      <c r="D13" s="315"/>
      <c r="E13" s="316">
        <v>79.7</v>
      </c>
      <c r="F13" s="317"/>
      <c r="G13" s="318"/>
      <c r="H13" s="317"/>
      <c r="I13" s="318"/>
      <c r="J13" s="317"/>
      <c r="K13" s="318"/>
      <c r="L13" s="318"/>
    </row>
    <row r="14" spans="1:12" s="200" customFormat="1">
      <c r="A14" s="1009"/>
      <c r="B14" s="117" t="s">
        <v>42</v>
      </c>
      <c r="C14" s="1009" t="s">
        <v>43</v>
      </c>
      <c r="D14" s="119">
        <f>0.6*3.1</f>
        <v>1.8599999999999999</v>
      </c>
      <c r="E14" s="120">
        <f>D14*E13</f>
        <v>148.24199999999999</v>
      </c>
      <c r="F14" s="121"/>
      <c r="G14" s="611"/>
      <c r="H14" s="121"/>
      <c r="I14" s="70">
        <f>H14*E14</f>
        <v>0</v>
      </c>
      <c r="J14" s="121"/>
      <c r="K14" s="121"/>
      <c r="L14" s="70">
        <f>K14+I14+G14</f>
        <v>0</v>
      </c>
    </row>
    <row r="15" spans="1:12" s="6" customFormat="1" ht="16.2">
      <c r="A15" s="1009"/>
      <c r="B15" s="117" t="s">
        <v>49</v>
      </c>
      <c r="C15" s="1009" t="s">
        <v>2</v>
      </c>
      <c r="D15" s="611">
        <f>0.7*0.019</f>
        <v>1.3299999999999999E-2</v>
      </c>
      <c r="E15" s="121">
        <f>D15*E13</f>
        <v>1.0600099999999999</v>
      </c>
      <c r="F15" s="121"/>
      <c r="G15" s="70"/>
      <c r="H15" s="121"/>
      <c r="I15" s="70"/>
      <c r="J15" s="121"/>
      <c r="K15" s="70">
        <f>J15*E15</f>
        <v>0</v>
      </c>
      <c r="L15" s="123">
        <f>K15+I15+G15</f>
        <v>0</v>
      </c>
    </row>
    <row r="16" spans="1:12" s="199" customFormat="1" ht="30">
      <c r="A16" s="311">
        <v>3</v>
      </c>
      <c r="B16" s="314" t="s">
        <v>327</v>
      </c>
      <c r="C16" s="311" t="s">
        <v>151</v>
      </c>
      <c r="D16" s="315"/>
      <c r="E16" s="316">
        <v>36.4</v>
      </c>
      <c r="F16" s="317"/>
      <c r="G16" s="318"/>
      <c r="H16" s="317"/>
      <c r="I16" s="318"/>
      <c r="J16" s="317"/>
      <c r="K16" s="318"/>
      <c r="L16" s="318"/>
    </row>
    <row r="17" spans="1:12" s="200" customFormat="1">
      <c r="A17" s="1015"/>
      <c r="B17" s="117" t="s">
        <v>42</v>
      </c>
      <c r="C17" s="1015" t="s">
        <v>43</v>
      </c>
      <c r="D17" s="119">
        <f>0.6*1.36</f>
        <v>0.81600000000000006</v>
      </c>
      <c r="E17" s="120">
        <f>D17*E16</f>
        <v>29.702400000000001</v>
      </c>
      <c r="F17" s="121"/>
      <c r="G17" s="611"/>
      <c r="H17" s="121"/>
      <c r="I17" s="70">
        <f>H17*E17</f>
        <v>0</v>
      </c>
      <c r="J17" s="121"/>
      <c r="K17" s="121"/>
      <c r="L17" s="70">
        <f>K17+I17+G17</f>
        <v>0</v>
      </c>
    </row>
    <row r="18" spans="1:12" s="6" customFormat="1" ht="16.2">
      <c r="A18" s="1015"/>
      <c r="B18" s="117" t="s">
        <v>49</v>
      </c>
      <c r="C18" s="1015" t="s">
        <v>2</v>
      </c>
      <c r="D18" s="611">
        <f>0.7*0.0408</f>
        <v>2.8559999999999999E-2</v>
      </c>
      <c r="E18" s="121">
        <f>D18*E16</f>
        <v>1.0395839999999998</v>
      </c>
      <c r="F18" s="121"/>
      <c r="G18" s="70"/>
      <c r="H18" s="121"/>
      <c r="I18" s="70"/>
      <c r="J18" s="121"/>
      <c r="K18" s="70">
        <f>J18*E18</f>
        <v>0</v>
      </c>
      <c r="L18" s="123">
        <f>K18+I18+G18</f>
        <v>0</v>
      </c>
    </row>
    <row r="19" spans="1:12" s="278" customFormat="1" ht="45">
      <c r="A19" s="301">
        <v>4</v>
      </c>
      <c r="B19" s="320" t="s">
        <v>169</v>
      </c>
      <c r="C19" s="311" t="s">
        <v>151</v>
      </c>
      <c r="D19" s="301"/>
      <c r="E19" s="317">
        <v>3.2</v>
      </c>
      <c r="F19" s="317"/>
      <c r="G19" s="318"/>
      <c r="H19" s="317"/>
      <c r="I19" s="318"/>
      <c r="J19" s="317"/>
      <c r="K19" s="318"/>
      <c r="L19" s="318"/>
    </row>
    <row r="20" spans="1:12" s="200" customFormat="1">
      <c r="A20" s="1009"/>
      <c r="B20" s="117" t="s">
        <v>42</v>
      </c>
      <c r="C20" s="1009" t="s">
        <v>43</v>
      </c>
      <c r="D20" s="119">
        <v>0.32300000000000001</v>
      </c>
      <c r="E20" s="120">
        <f>D20*E19</f>
        <v>1.0336000000000001</v>
      </c>
      <c r="F20" s="121"/>
      <c r="G20" s="611"/>
      <c r="H20" s="121"/>
      <c r="I20" s="70">
        <f>H20*E20</f>
        <v>0</v>
      </c>
      <c r="J20" s="121"/>
      <c r="K20" s="121"/>
      <c r="L20" s="70">
        <f>K20+I20+G20</f>
        <v>0</v>
      </c>
    </row>
    <row r="21" spans="1:12" s="6" customFormat="1" ht="16.2">
      <c r="A21" s="1009"/>
      <c r="B21" s="117" t="s">
        <v>49</v>
      </c>
      <c r="C21" s="1009" t="s">
        <v>2</v>
      </c>
      <c r="D21" s="611">
        <v>2.1499999999999998E-2</v>
      </c>
      <c r="E21" s="121">
        <f>D21*E19</f>
        <v>6.88E-2</v>
      </c>
      <c r="F21" s="121"/>
      <c r="G21" s="70"/>
      <c r="H21" s="121"/>
      <c r="I21" s="70"/>
      <c r="J21" s="121"/>
      <c r="K21" s="70">
        <f>J21*E21</f>
        <v>0</v>
      </c>
      <c r="L21" s="123">
        <f>K21+I21+G21</f>
        <v>0</v>
      </c>
    </row>
    <row r="22" spans="1:12" s="278" customFormat="1" ht="30">
      <c r="A22" s="301">
        <v>5</v>
      </c>
      <c r="B22" s="320" t="s">
        <v>168</v>
      </c>
      <c r="C22" s="311" t="s">
        <v>151</v>
      </c>
      <c r="D22" s="301"/>
      <c r="E22" s="317">
        <v>3.2</v>
      </c>
      <c r="F22" s="317"/>
      <c r="G22" s="318"/>
      <c r="H22" s="317"/>
      <c r="I22" s="318"/>
      <c r="J22" s="317"/>
      <c r="K22" s="318"/>
      <c r="L22" s="318"/>
    </row>
    <row r="23" spans="1:12" s="200" customFormat="1">
      <c r="A23" s="1009"/>
      <c r="B23" s="117" t="s">
        <v>42</v>
      </c>
      <c r="C23" s="1009" t="s">
        <v>43</v>
      </c>
      <c r="D23" s="119">
        <v>1.1120000000000001</v>
      </c>
      <c r="E23" s="120">
        <f>D23*E22</f>
        <v>3.5584000000000007</v>
      </c>
      <c r="F23" s="121"/>
      <c r="G23" s="611"/>
      <c r="H23" s="121"/>
      <c r="I23" s="70">
        <f>H23*E23</f>
        <v>0</v>
      </c>
      <c r="J23" s="121"/>
      <c r="K23" s="121"/>
      <c r="L23" s="70">
        <f>K23+I23+G23</f>
        <v>0</v>
      </c>
    </row>
    <row r="24" spans="1:12" s="200" customFormat="1">
      <c r="A24" s="637"/>
      <c r="B24" s="907" t="s">
        <v>328</v>
      </c>
      <c r="C24" s="637" t="s">
        <v>44</v>
      </c>
      <c r="D24" s="928">
        <v>0.38400000000000001</v>
      </c>
      <c r="E24" s="929">
        <f>D24*E22</f>
        <v>1.2288000000000001</v>
      </c>
      <c r="F24" s="840"/>
      <c r="G24" s="908"/>
      <c r="H24" s="840"/>
      <c r="I24" s="615"/>
      <c r="J24" s="840"/>
      <c r="K24" s="70">
        <f>J24*E24</f>
        <v>0</v>
      </c>
      <c r="L24" s="123">
        <f>K24+I24+G24</f>
        <v>0</v>
      </c>
    </row>
    <row r="25" spans="1:12" s="200" customFormat="1">
      <c r="A25" s="637"/>
      <c r="B25" s="907" t="s">
        <v>329</v>
      </c>
      <c r="C25" s="637" t="s">
        <v>44</v>
      </c>
      <c r="D25" s="928">
        <v>0.38400000000000001</v>
      </c>
      <c r="E25" s="929">
        <f>D25*E22</f>
        <v>1.2288000000000001</v>
      </c>
      <c r="F25" s="840"/>
      <c r="G25" s="908"/>
      <c r="H25" s="840"/>
      <c r="I25" s="615"/>
      <c r="J25" s="840"/>
      <c r="K25" s="70">
        <f>J25*E25</f>
        <v>0</v>
      </c>
      <c r="L25" s="123">
        <f>K25+I25+G25</f>
        <v>0</v>
      </c>
    </row>
    <row r="26" spans="1:12" s="286" customFormat="1" ht="30">
      <c r="A26" s="721">
        <v>6</v>
      </c>
      <c r="B26" s="810" t="s">
        <v>392</v>
      </c>
      <c r="C26" s="721" t="s">
        <v>66</v>
      </c>
      <c r="D26" s="946"/>
      <c r="E26" s="947">
        <v>20</v>
      </c>
      <c r="F26" s="948"/>
      <c r="G26" s="819"/>
      <c r="H26" s="948"/>
      <c r="I26" s="724"/>
      <c r="J26" s="948"/>
      <c r="K26" s="724"/>
      <c r="L26" s="761"/>
    </row>
    <row r="27" spans="1:12" s="200" customFormat="1">
      <c r="A27" s="1015"/>
      <c r="B27" s="117" t="s">
        <v>42</v>
      </c>
      <c r="C27" s="1015" t="s">
        <v>66</v>
      </c>
      <c r="D27" s="119">
        <v>1</v>
      </c>
      <c r="E27" s="120">
        <f>D27*E26</f>
        <v>20</v>
      </c>
      <c r="F27" s="121"/>
      <c r="G27" s="611"/>
      <c r="H27" s="121"/>
      <c r="I27" s="70">
        <f>H27*E27</f>
        <v>0</v>
      </c>
      <c r="J27" s="121"/>
      <c r="K27" s="121"/>
      <c r="L27" s="70">
        <f>K27+I27+G27</f>
        <v>0</v>
      </c>
    </row>
    <row r="28" spans="1:12" s="286" customFormat="1">
      <c r="A28" s="721">
        <v>7</v>
      </c>
      <c r="B28" s="810" t="s">
        <v>391</v>
      </c>
      <c r="C28" s="721" t="s">
        <v>105</v>
      </c>
      <c r="D28" s="946"/>
      <c r="E28" s="947">
        <v>1</v>
      </c>
      <c r="F28" s="948"/>
      <c r="G28" s="819"/>
      <c r="H28" s="948"/>
      <c r="I28" s="724"/>
      <c r="J28" s="948"/>
      <c r="K28" s="724"/>
      <c r="L28" s="761"/>
    </row>
    <row r="29" spans="1:12" s="200" customFormat="1">
      <c r="A29" s="725"/>
      <c r="B29" s="1035" t="s">
        <v>368</v>
      </c>
      <c r="C29" s="725"/>
      <c r="D29" s="794"/>
      <c r="E29" s="765"/>
      <c r="F29" s="736"/>
      <c r="G29" s="735"/>
      <c r="H29" s="736"/>
      <c r="I29" s="729"/>
      <c r="J29" s="736"/>
      <c r="K29" s="729"/>
      <c r="L29" s="739"/>
    </row>
    <row r="30" spans="1:12" s="286" customFormat="1">
      <c r="A30" s="721"/>
      <c r="B30" s="810" t="s">
        <v>431</v>
      </c>
      <c r="C30" s="721" t="s">
        <v>62</v>
      </c>
      <c r="D30" s="946"/>
      <c r="E30" s="947">
        <v>1</v>
      </c>
      <c r="F30" s="948"/>
      <c r="G30" s="819"/>
      <c r="H30" s="948"/>
      <c r="I30" s="724"/>
      <c r="J30" s="948"/>
      <c r="K30" s="724"/>
      <c r="L30" s="761"/>
    </row>
    <row r="31" spans="1:12" s="200" customFormat="1">
      <c r="A31" s="1081"/>
      <c r="B31" s="117" t="s">
        <v>42</v>
      </c>
      <c r="C31" s="1081" t="s">
        <v>62</v>
      </c>
      <c r="D31" s="119">
        <v>1</v>
      </c>
      <c r="E31" s="120">
        <f>D31*E30</f>
        <v>1</v>
      </c>
      <c r="F31" s="121"/>
      <c r="G31" s="611"/>
      <c r="H31" s="121"/>
      <c r="I31" s="70">
        <f>H31*E31</f>
        <v>0</v>
      </c>
      <c r="J31" s="121"/>
      <c r="K31" s="121"/>
      <c r="L31" s="70">
        <f>K31+I31+G31</f>
        <v>0</v>
      </c>
    </row>
    <row r="32" spans="1:12" s="200" customFormat="1">
      <c r="A32" s="725"/>
      <c r="B32" s="749" t="s">
        <v>443</v>
      </c>
      <c r="C32" s="725" t="s">
        <v>44</v>
      </c>
      <c r="D32" s="794"/>
      <c r="E32" s="765">
        <v>4</v>
      </c>
      <c r="F32" s="736"/>
      <c r="G32" s="735"/>
      <c r="H32" s="736"/>
      <c r="I32" s="729"/>
      <c r="J32" s="736"/>
      <c r="K32" s="70">
        <f>J32*E32</f>
        <v>0</v>
      </c>
      <c r="L32" s="123">
        <f>K32+I32+G32</f>
        <v>0</v>
      </c>
    </row>
    <row r="33" spans="1:12" s="200" customFormat="1">
      <c r="A33" s="725"/>
      <c r="B33" s="749" t="s">
        <v>444</v>
      </c>
      <c r="C33" s="725" t="s">
        <v>44</v>
      </c>
      <c r="D33" s="794"/>
      <c r="E33" s="765">
        <v>5</v>
      </c>
      <c r="F33" s="736"/>
      <c r="G33" s="735"/>
      <c r="H33" s="736"/>
      <c r="I33" s="729"/>
      <c r="J33" s="736"/>
      <c r="K33" s="70">
        <f>J33*E33</f>
        <v>0</v>
      </c>
      <c r="L33" s="123">
        <f>K33+I33+G33</f>
        <v>0</v>
      </c>
    </row>
    <row r="34" spans="1:12" s="7" customFormat="1" ht="45">
      <c r="A34" s="721">
        <v>8</v>
      </c>
      <c r="B34" s="810" t="s">
        <v>373</v>
      </c>
      <c r="C34" s="721" t="s">
        <v>48</v>
      </c>
      <c r="D34" s="819"/>
      <c r="E34" s="948">
        <v>1.679</v>
      </c>
      <c r="F34" s="948"/>
      <c r="G34" s="724"/>
      <c r="H34" s="948"/>
      <c r="I34" s="724"/>
      <c r="J34" s="948"/>
      <c r="K34" s="724"/>
      <c r="L34" s="761"/>
    </row>
    <row r="35" spans="1:12" s="200" customFormat="1">
      <c r="A35" s="1015"/>
      <c r="B35" s="117" t="s">
        <v>42</v>
      </c>
      <c r="C35" s="1015" t="s">
        <v>48</v>
      </c>
      <c r="D35" s="119">
        <v>1</v>
      </c>
      <c r="E35" s="120">
        <f>D35*E34</f>
        <v>1.679</v>
      </c>
      <c r="F35" s="121"/>
      <c r="G35" s="611"/>
      <c r="H35" s="121"/>
      <c r="I35" s="70">
        <f>H35*E35</f>
        <v>0</v>
      </c>
      <c r="J35" s="121"/>
      <c r="K35" s="121"/>
      <c r="L35" s="70">
        <f>K35+I35+G35</f>
        <v>0</v>
      </c>
    </row>
    <row r="36" spans="1:12" s="7" customFormat="1" ht="30">
      <c r="A36" s="721">
        <v>9</v>
      </c>
      <c r="B36" s="810" t="s">
        <v>366</v>
      </c>
      <c r="C36" s="721" t="s">
        <v>48</v>
      </c>
      <c r="D36" s="819"/>
      <c r="E36" s="948">
        <v>1.679</v>
      </c>
      <c r="F36" s="948"/>
      <c r="G36" s="724"/>
      <c r="H36" s="948"/>
      <c r="I36" s="724"/>
      <c r="J36" s="948"/>
      <c r="K36" s="724"/>
      <c r="L36" s="761"/>
    </row>
    <row r="37" spans="1:12" s="244" customFormat="1" ht="16.2">
      <c r="A37" s="725"/>
      <c r="B37" s="749" t="s">
        <v>367</v>
      </c>
      <c r="C37" s="725" t="s">
        <v>334</v>
      </c>
      <c r="D37" s="735"/>
      <c r="E37" s="736">
        <v>1</v>
      </c>
      <c r="F37" s="736"/>
      <c r="G37" s="729"/>
      <c r="H37" s="736"/>
      <c r="I37" s="729"/>
      <c r="J37" s="736"/>
      <c r="K37" s="70">
        <f>J37*E37</f>
        <v>0</v>
      </c>
      <c r="L37" s="123">
        <f>K37+I37+G37</f>
        <v>0</v>
      </c>
    </row>
    <row r="38" spans="1:12" s="7" customFormat="1" ht="45">
      <c r="A38" s="721">
        <v>10</v>
      </c>
      <c r="B38" s="810" t="s">
        <v>372</v>
      </c>
      <c r="C38" s="311" t="s">
        <v>148</v>
      </c>
      <c r="D38" s="819"/>
      <c r="E38" s="948">
        <v>0.192</v>
      </c>
      <c r="F38" s="948"/>
      <c r="G38" s="724"/>
      <c r="H38" s="948"/>
      <c r="I38" s="724"/>
      <c r="J38" s="948"/>
      <c r="K38" s="724"/>
      <c r="L38" s="761"/>
    </row>
    <row r="39" spans="1:12" s="244" customFormat="1" ht="16.2">
      <c r="A39" s="725"/>
      <c r="B39" s="749" t="s">
        <v>405</v>
      </c>
      <c r="C39" s="725" t="s">
        <v>44</v>
      </c>
      <c r="D39" s="735">
        <f>1.25*0.041</f>
        <v>5.1250000000000004E-2</v>
      </c>
      <c r="E39" s="736">
        <f>D39*E38</f>
        <v>9.8400000000000015E-3</v>
      </c>
      <c r="F39" s="736"/>
      <c r="G39" s="729"/>
      <c r="H39" s="736"/>
      <c r="I39" s="729"/>
      <c r="J39" s="736"/>
      <c r="K39" s="70">
        <f>J39*E39</f>
        <v>0</v>
      </c>
      <c r="L39" s="123">
        <f>K39+I39+G39</f>
        <v>0</v>
      </c>
    </row>
    <row r="40" spans="1:12" s="7" customFormat="1" ht="30">
      <c r="A40" s="721">
        <v>11</v>
      </c>
      <c r="B40" s="810" t="s">
        <v>371</v>
      </c>
      <c r="C40" s="311" t="s">
        <v>148</v>
      </c>
      <c r="D40" s="819"/>
      <c r="E40" s="948">
        <v>0.192</v>
      </c>
      <c r="F40" s="948"/>
      <c r="G40" s="724"/>
      <c r="H40" s="948"/>
      <c r="I40" s="724"/>
      <c r="J40" s="948"/>
      <c r="K40" s="724"/>
      <c r="L40" s="761"/>
    </row>
    <row r="41" spans="1:12" s="244" customFormat="1" ht="16.2">
      <c r="A41" s="725"/>
      <c r="B41" s="749" t="s">
        <v>367</v>
      </c>
      <c r="C41" s="725" t="s">
        <v>48</v>
      </c>
      <c r="D41" s="735">
        <v>1.8</v>
      </c>
      <c r="E41" s="736">
        <f>D41*E40</f>
        <v>0.34560000000000002</v>
      </c>
      <c r="F41" s="736"/>
      <c r="G41" s="729"/>
      <c r="H41" s="736"/>
      <c r="I41" s="729"/>
      <c r="J41" s="736"/>
      <c r="K41" s="70">
        <f>J41*E41</f>
        <v>0</v>
      </c>
      <c r="L41" s="123">
        <f>K41+I41+G41</f>
        <v>0</v>
      </c>
    </row>
    <row r="42" spans="1:12">
      <c r="A42" s="111"/>
      <c r="B42" s="455" t="s">
        <v>204</v>
      </c>
      <c r="C42" s="1009"/>
      <c r="D42" s="115"/>
      <c r="E42" s="131"/>
      <c r="F42" s="131"/>
      <c r="G42" s="132"/>
      <c r="H42" s="131"/>
      <c r="I42" s="132"/>
      <c r="J42" s="131"/>
      <c r="K42" s="132"/>
      <c r="L42" s="132"/>
    </row>
    <row r="43" spans="1:12" s="71" customFormat="1">
      <c r="A43" s="374"/>
      <c r="B43" s="429" t="s">
        <v>184</v>
      </c>
      <c r="C43" s="384"/>
      <c r="D43" s="425"/>
      <c r="E43" s="399"/>
      <c r="F43" s="399"/>
      <c r="G43" s="380"/>
      <c r="H43" s="430"/>
      <c r="I43" s="431"/>
      <c r="J43" s="430"/>
      <c r="K43" s="431"/>
      <c r="L43" s="361"/>
    </row>
    <row r="44" spans="1:12" s="200" customFormat="1" ht="30.75" customHeight="1">
      <c r="A44" s="416">
        <v>12</v>
      </c>
      <c r="B44" s="439" t="s">
        <v>186</v>
      </c>
      <c r="C44" s="363" t="s">
        <v>151</v>
      </c>
      <c r="D44" s="440"/>
      <c r="E44" s="418">
        <v>79.7</v>
      </c>
      <c r="F44" s="441"/>
      <c r="G44" s="442"/>
      <c r="H44" s="441"/>
      <c r="I44" s="442"/>
      <c r="J44" s="441"/>
      <c r="K44" s="442"/>
      <c r="L44" s="442"/>
    </row>
    <row r="45" spans="1:12" s="438" customFormat="1" ht="17.399999999999999">
      <c r="A45" s="443"/>
      <c r="B45" s="444" t="s">
        <v>187</v>
      </c>
      <c r="C45" s="1009" t="s">
        <v>155</v>
      </c>
      <c r="D45" s="490">
        <v>1</v>
      </c>
      <c r="E45" s="490">
        <f>E44*D45</f>
        <v>79.7</v>
      </c>
      <c r="F45" s="371"/>
      <c r="H45" s="446"/>
      <c r="I45" s="446">
        <f>E45*H45</f>
        <v>0</v>
      </c>
      <c r="J45" s="447"/>
      <c r="K45" s="447"/>
      <c r="L45" s="446">
        <f>I45</f>
        <v>0</v>
      </c>
    </row>
    <row r="46" spans="1:12" s="438" customFormat="1" ht="16.2">
      <c r="A46" s="443"/>
      <c r="B46" s="444" t="s">
        <v>188</v>
      </c>
      <c r="C46" s="443" t="s">
        <v>64</v>
      </c>
      <c r="D46" s="490">
        <v>1.52E-2</v>
      </c>
      <c r="E46" s="490">
        <f>D46*E44</f>
        <v>1.2114400000000001</v>
      </c>
      <c r="F46" s="1018"/>
      <c r="G46" s="443"/>
      <c r="H46" s="447"/>
      <c r="I46" s="447"/>
      <c r="J46" s="447"/>
      <c r="K46" s="446">
        <f>E46*J46</f>
        <v>0</v>
      </c>
      <c r="L46" s="446">
        <f>K46</f>
        <v>0</v>
      </c>
    </row>
    <row r="47" spans="1:12" s="438" customFormat="1" ht="16.2">
      <c r="A47" s="443"/>
      <c r="B47" s="444" t="s">
        <v>189</v>
      </c>
      <c r="C47" s="443" t="s">
        <v>67</v>
      </c>
      <c r="D47" s="490">
        <v>3.3999999999999998E-3</v>
      </c>
      <c r="E47" s="490">
        <f>E44*D47</f>
        <v>0.27098</v>
      </c>
      <c r="F47" s="1019"/>
      <c r="G47" s="447"/>
      <c r="H47" s="447"/>
      <c r="I47" s="447"/>
      <c r="J47" s="446"/>
      <c r="K47" s="446">
        <f>E47*J47</f>
        <v>0</v>
      </c>
      <c r="L47" s="446">
        <f>K47</f>
        <v>0</v>
      </c>
    </row>
    <row r="48" spans="1:12" s="71" customFormat="1" ht="30">
      <c r="A48" s="1009"/>
      <c r="B48" s="117" t="s">
        <v>335</v>
      </c>
      <c r="C48" s="1009" t="s">
        <v>142</v>
      </c>
      <c r="D48" s="119">
        <v>1.1000000000000001</v>
      </c>
      <c r="E48" s="120">
        <f>D48*E45</f>
        <v>87.670000000000016</v>
      </c>
      <c r="F48" s="96"/>
      <c r="G48" s="123">
        <f>E48*F48</f>
        <v>0</v>
      </c>
      <c r="H48" s="131"/>
      <c r="I48" s="132"/>
      <c r="J48" s="131"/>
      <c r="K48" s="132"/>
      <c r="L48" s="70">
        <f>K48+I48+G48</f>
        <v>0</v>
      </c>
    </row>
    <row r="49" spans="1:15" s="71" customFormat="1" ht="17.399999999999999">
      <c r="A49" s="637"/>
      <c r="B49" s="907" t="s">
        <v>370</v>
      </c>
      <c r="C49" s="1015" t="s">
        <v>142</v>
      </c>
      <c r="D49" s="928"/>
      <c r="E49" s="929">
        <v>29.4</v>
      </c>
      <c r="F49" s="836"/>
      <c r="G49" s="739">
        <f>E49*F49</f>
        <v>0</v>
      </c>
      <c r="H49" s="738"/>
      <c r="I49" s="737"/>
      <c r="J49" s="738"/>
      <c r="K49" s="132"/>
      <c r="L49" s="70">
        <f>K49+I49+G49</f>
        <v>0</v>
      </c>
    </row>
    <row r="50" spans="1:15" s="437" customFormat="1" ht="16.2">
      <c r="A50" s="443"/>
      <c r="B50" s="444" t="s">
        <v>191</v>
      </c>
      <c r="C50" s="443" t="s">
        <v>192</v>
      </c>
      <c r="D50" s="1020">
        <v>0.05</v>
      </c>
      <c r="E50" s="490">
        <f>E44*D50</f>
        <v>3.9850000000000003</v>
      </c>
      <c r="F50" s="1018"/>
      <c r="G50" s="1052">
        <f>E50*F50</f>
        <v>0</v>
      </c>
      <c r="H50" s="1053"/>
      <c r="I50" s="1053"/>
      <c r="J50" s="1054"/>
      <c r="K50" s="449"/>
      <c r="L50" s="446">
        <f>G50</f>
        <v>0</v>
      </c>
    </row>
    <row r="51" spans="1:15" s="437" customFormat="1" ht="16.2">
      <c r="A51" s="443"/>
      <c r="B51" s="444" t="s">
        <v>193</v>
      </c>
      <c r="C51" s="443" t="s">
        <v>192</v>
      </c>
      <c r="D51" s="1020">
        <v>0.02</v>
      </c>
      <c r="E51" s="490">
        <f>D51*E44</f>
        <v>1.5940000000000001</v>
      </c>
      <c r="F51" s="1018"/>
      <c r="G51" s="1052">
        <f>E51*F51</f>
        <v>0</v>
      </c>
      <c r="H51" s="1053"/>
      <c r="I51" s="1053"/>
      <c r="J51" s="1054"/>
      <c r="K51" s="449"/>
      <c r="L51" s="446">
        <f>G51</f>
        <v>0</v>
      </c>
    </row>
    <row r="52" spans="1:15" s="438" customFormat="1" ht="16.2">
      <c r="A52" s="443"/>
      <c r="B52" s="444" t="s">
        <v>194</v>
      </c>
      <c r="C52" s="443" t="s">
        <v>67</v>
      </c>
      <c r="D52" s="1020">
        <v>3.8600000000000002E-2</v>
      </c>
      <c r="E52" s="490">
        <f>E44*D52</f>
        <v>3.0764200000000002</v>
      </c>
      <c r="F52" s="1018"/>
      <c r="G52" s="1055">
        <f>E52*F52</f>
        <v>0</v>
      </c>
      <c r="H52" s="1056"/>
      <c r="I52" s="1056"/>
      <c r="J52" s="1050"/>
      <c r="K52" s="447"/>
      <c r="L52" s="446">
        <f>G52</f>
        <v>0</v>
      </c>
    </row>
    <row r="53" spans="1:15" s="772" customFormat="1" ht="30">
      <c r="A53" s="363">
        <v>13</v>
      </c>
      <c r="B53" s="382" t="s">
        <v>408</v>
      </c>
      <c r="C53" s="311" t="s">
        <v>151</v>
      </c>
      <c r="D53" s="422"/>
      <c r="E53" s="418">
        <v>79.7</v>
      </c>
      <c r="F53" s="771"/>
      <c r="G53" s="373"/>
      <c r="H53" s="373"/>
      <c r="I53" s="373"/>
      <c r="J53" s="373"/>
      <c r="K53" s="373"/>
      <c r="L53" s="373"/>
    </row>
    <row r="54" spans="1:15" s="12" customFormat="1">
      <c r="A54" s="725"/>
      <c r="B54" s="1017" t="s">
        <v>368</v>
      </c>
      <c r="C54" s="752"/>
      <c r="D54" s="735"/>
      <c r="E54" s="765"/>
      <c r="F54" s="736"/>
      <c r="G54" s="729"/>
      <c r="H54" s="736"/>
      <c r="I54" s="729"/>
      <c r="J54" s="736"/>
      <c r="K54" s="729"/>
      <c r="L54" s="729"/>
    </row>
    <row r="55" spans="1:15" s="450" customFormat="1" ht="18.75" customHeight="1">
      <c r="A55" s="451">
        <v>14</v>
      </c>
      <c r="B55" s="451" t="s">
        <v>196</v>
      </c>
      <c r="C55" s="451" t="s">
        <v>66</v>
      </c>
      <c r="D55" s="451"/>
      <c r="E55" s="451">
        <v>23.1</v>
      </c>
      <c r="F55" s="452"/>
      <c r="G55" s="451"/>
      <c r="H55" s="453"/>
      <c r="I55" s="453"/>
      <c r="J55" s="453"/>
      <c r="K55" s="453"/>
      <c r="L55" s="454"/>
    </row>
    <row r="56" spans="1:15" s="437" customFormat="1" ht="16.2">
      <c r="A56" s="443"/>
      <c r="B56" s="444" t="s">
        <v>195</v>
      </c>
      <c r="C56" s="443" t="s">
        <v>136</v>
      </c>
      <c r="D56" s="445">
        <v>0.28599999999999998</v>
      </c>
      <c r="E56" s="490">
        <f>E55*D56</f>
        <v>6.6066000000000003</v>
      </c>
      <c r="F56" s="443"/>
      <c r="G56" s="443"/>
      <c r="H56" s="446"/>
      <c r="I56" s="446">
        <f>E56*H56</f>
        <v>0</v>
      </c>
      <c r="J56" s="449"/>
      <c r="K56" s="449"/>
      <c r="L56" s="446">
        <f>I56</f>
        <v>0</v>
      </c>
    </row>
    <row r="57" spans="1:15" s="437" customFormat="1" ht="16.2">
      <c r="A57" s="443"/>
      <c r="B57" s="444" t="s">
        <v>189</v>
      </c>
      <c r="C57" s="443" t="s">
        <v>67</v>
      </c>
      <c r="D57" s="445">
        <v>4.1000000000000003E-3</v>
      </c>
      <c r="E57" s="490">
        <f>E55*D57</f>
        <v>9.4710000000000016E-2</v>
      </c>
      <c r="F57" s="447"/>
      <c r="G57" s="449"/>
      <c r="H57" s="449"/>
      <c r="I57" s="449"/>
      <c r="J57" s="446"/>
      <c r="K57" s="446">
        <f>E57*J57</f>
        <v>0</v>
      </c>
      <c r="L57" s="446">
        <f>K57</f>
        <v>0</v>
      </c>
    </row>
    <row r="58" spans="1:15" s="437" customFormat="1" ht="16.2">
      <c r="A58" s="443"/>
      <c r="B58" s="444" t="s">
        <v>445</v>
      </c>
      <c r="C58" s="443" t="s">
        <v>66</v>
      </c>
      <c r="D58" s="445"/>
      <c r="E58" s="490">
        <v>14.1</v>
      </c>
      <c r="F58" s="446"/>
      <c r="G58" s="446">
        <f>E58*F58</f>
        <v>0</v>
      </c>
      <c r="H58" s="443"/>
      <c r="I58" s="443"/>
      <c r="J58" s="449"/>
      <c r="K58" s="449"/>
      <c r="L58" s="446">
        <f>G58</f>
        <v>0</v>
      </c>
    </row>
    <row r="59" spans="1:15" s="437" customFormat="1" ht="16.2">
      <c r="A59" s="1053"/>
      <c r="B59" s="1111" t="s">
        <v>448</v>
      </c>
      <c r="C59" s="725" t="s">
        <v>62</v>
      </c>
      <c r="D59" s="1112"/>
      <c r="E59" s="1113">
        <v>3</v>
      </c>
      <c r="F59" s="1051"/>
      <c r="G59" s="446">
        <f>E59*F59</f>
        <v>0</v>
      </c>
      <c r="H59" s="443"/>
      <c r="I59" s="443"/>
      <c r="J59" s="449"/>
      <c r="K59" s="449"/>
      <c r="L59" s="446">
        <f>G59</f>
        <v>0</v>
      </c>
    </row>
    <row r="60" spans="1:15" s="437" customFormat="1" ht="16.2">
      <c r="A60" s="443"/>
      <c r="B60" s="444" t="s">
        <v>446</v>
      </c>
      <c r="C60" s="443" t="s">
        <v>66</v>
      </c>
      <c r="D60" s="445"/>
      <c r="E60" s="490">
        <v>9</v>
      </c>
      <c r="F60" s="736"/>
      <c r="G60" s="446">
        <f>E60*F60</f>
        <v>0</v>
      </c>
      <c r="H60" s="443"/>
      <c r="I60" s="443"/>
      <c r="J60" s="449"/>
      <c r="K60" s="449"/>
      <c r="L60" s="446">
        <f>G60</f>
        <v>0</v>
      </c>
    </row>
    <row r="61" spans="1:15" s="12" customFormat="1">
      <c r="A61" s="725"/>
      <c r="B61" s="749" t="s">
        <v>447</v>
      </c>
      <c r="C61" s="725" t="s">
        <v>62</v>
      </c>
      <c r="D61" s="774"/>
      <c r="E61" s="762">
        <v>2</v>
      </c>
      <c r="F61" s="736"/>
      <c r="G61" s="739">
        <f>F61*E61</f>
        <v>0</v>
      </c>
      <c r="H61" s="755"/>
      <c r="I61" s="739"/>
      <c r="J61" s="755"/>
      <c r="K61" s="739"/>
      <c r="L61" s="739">
        <f>K61+I61+G61</f>
        <v>0</v>
      </c>
      <c r="M61" s="192"/>
      <c r="N61" s="192"/>
      <c r="O61" s="192"/>
    </row>
    <row r="62" spans="1:15" s="12" customFormat="1">
      <c r="A62" s="725"/>
      <c r="B62" s="749" t="s">
        <v>450</v>
      </c>
      <c r="C62" s="725" t="s">
        <v>62</v>
      </c>
      <c r="D62" s="774"/>
      <c r="E62" s="762">
        <v>4</v>
      </c>
      <c r="F62" s="736"/>
      <c r="G62" s="739">
        <f>F62*E62</f>
        <v>0</v>
      </c>
      <c r="H62" s="755"/>
      <c r="I62" s="739"/>
      <c r="J62" s="755"/>
      <c r="K62" s="739"/>
      <c r="L62" s="739">
        <f>K62+I62+G62</f>
        <v>0</v>
      </c>
      <c r="M62" s="192"/>
      <c r="N62" s="192"/>
      <c r="O62" s="192"/>
    </row>
    <row r="63" spans="1:15" s="437" customFormat="1" ht="16.2">
      <c r="A63" s="443"/>
      <c r="B63" s="1114" t="s">
        <v>449</v>
      </c>
      <c r="C63" s="725" t="s">
        <v>62</v>
      </c>
      <c r="D63" s="448"/>
      <c r="E63" s="445">
        <v>2</v>
      </c>
      <c r="F63" s="446"/>
      <c r="G63" s="739">
        <f>F63*E63</f>
        <v>0</v>
      </c>
      <c r="H63" s="755"/>
      <c r="I63" s="739"/>
      <c r="J63" s="755"/>
      <c r="K63" s="739"/>
      <c r="L63" s="739">
        <f>K63+I63+G63</f>
        <v>0</v>
      </c>
    </row>
    <row r="64" spans="1:15" s="13" customFormat="1" ht="30">
      <c r="A64" s="721">
        <v>15</v>
      </c>
      <c r="B64" s="723" t="s">
        <v>376</v>
      </c>
      <c r="C64" s="311" t="s">
        <v>151</v>
      </c>
      <c r="D64" s="819"/>
      <c r="E64" s="947">
        <v>36.4</v>
      </c>
      <c r="F64" s="948"/>
      <c r="G64" s="724"/>
      <c r="H64" s="948"/>
      <c r="I64" s="724"/>
      <c r="J64" s="948"/>
      <c r="K64" s="724"/>
      <c r="L64" s="724"/>
    </row>
    <row r="65" spans="1:14" s="12" customFormat="1">
      <c r="A65" s="725"/>
      <c r="B65" s="1017" t="s">
        <v>368</v>
      </c>
      <c r="C65" s="752"/>
      <c r="D65" s="735"/>
      <c r="E65" s="765"/>
      <c r="F65" s="736"/>
      <c r="G65" s="729"/>
      <c r="H65" s="736"/>
      <c r="I65" s="729"/>
      <c r="J65" s="736"/>
      <c r="K65" s="729"/>
      <c r="L65" s="729"/>
    </row>
    <row r="66" spans="1:14" s="12" customFormat="1">
      <c r="A66" s="725"/>
      <c r="B66" s="1023"/>
      <c r="C66" s="752"/>
      <c r="D66" s="735"/>
      <c r="E66" s="765"/>
      <c r="F66" s="736"/>
      <c r="G66" s="729"/>
      <c r="H66" s="736"/>
      <c r="I66" s="729"/>
      <c r="J66" s="736"/>
      <c r="K66" s="729"/>
      <c r="L66" s="729"/>
    </row>
    <row r="67" spans="1:14" s="20" customFormat="1">
      <c r="A67" s="491"/>
      <c r="B67" s="775" t="s">
        <v>266</v>
      </c>
      <c r="C67" s="160"/>
      <c r="D67" s="611"/>
      <c r="E67" s="97"/>
      <c r="F67" s="121"/>
      <c r="G67" s="70"/>
      <c r="H67" s="121"/>
      <c r="I67" s="70"/>
      <c r="J67" s="121"/>
      <c r="K67" s="70"/>
      <c r="L67" s="70"/>
    </row>
    <row r="68" spans="1:14" s="199" customFormat="1" ht="30">
      <c r="A68" s="787">
        <v>16</v>
      </c>
      <c r="B68" s="810" t="s">
        <v>268</v>
      </c>
      <c r="C68" s="723" t="s">
        <v>62</v>
      </c>
      <c r="D68" s="811"/>
      <c r="E68" s="812">
        <v>160</v>
      </c>
      <c r="F68" s="813"/>
      <c r="G68" s="791"/>
      <c r="H68" s="813"/>
      <c r="I68" s="790"/>
      <c r="J68" s="813"/>
      <c r="K68" s="790"/>
      <c r="L68" s="790"/>
    </row>
    <row r="69" spans="1:14" s="192" customFormat="1">
      <c r="A69" s="725"/>
      <c r="B69" s="749" t="s">
        <v>42</v>
      </c>
      <c r="C69" s="727" t="s">
        <v>61</v>
      </c>
      <c r="D69" s="794">
        <v>0.42599999999999999</v>
      </c>
      <c r="E69" s="765">
        <f>D69*E68</f>
        <v>68.16</v>
      </c>
      <c r="F69" s="736"/>
      <c r="G69" s="729"/>
      <c r="H69" s="736"/>
      <c r="I69" s="729">
        <f>H69*E69</f>
        <v>0</v>
      </c>
      <c r="J69" s="736"/>
      <c r="K69" s="729"/>
      <c r="L69" s="729">
        <f>K69+I69+G69</f>
        <v>0</v>
      </c>
    </row>
    <row r="70" spans="1:14" s="192" customFormat="1">
      <c r="A70" s="795"/>
      <c r="B70" s="796" t="s">
        <v>267</v>
      </c>
      <c r="C70" s="797" t="s">
        <v>44</v>
      </c>
      <c r="D70" s="798">
        <v>0.215</v>
      </c>
      <c r="E70" s="799">
        <f>D70*E68</f>
        <v>34.4</v>
      </c>
      <c r="F70" s="800"/>
      <c r="G70" s="801"/>
      <c r="H70" s="800"/>
      <c r="I70" s="802"/>
      <c r="J70" s="803"/>
      <c r="K70" s="801">
        <f>E70*J70</f>
        <v>0</v>
      </c>
      <c r="L70" s="801">
        <f>K70+I70+G70</f>
        <v>0</v>
      </c>
    </row>
    <row r="71" spans="1:14" s="192" customFormat="1" ht="16.2">
      <c r="A71" s="725"/>
      <c r="B71" s="804" t="s">
        <v>63</v>
      </c>
      <c r="C71" s="805" t="s">
        <v>2</v>
      </c>
      <c r="D71" s="806">
        <v>2.9999999999999997E-4</v>
      </c>
      <c r="E71" s="807">
        <f>D71*E68</f>
        <v>4.7999999999999994E-2</v>
      </c>
      <c r="F71" s="800"/>
      <c r="G71" s="801"/>
      <c r="H71" s="800"/>
      <c r="I71" s="801"/>
      <c r="J71" s="800"/>
      <c r="K71" s="801">
        <f>E71*J71</f>
        <v>0</v>
      </c>
      <c r="L71" s="801">
        <f>K71+I71+G71</f>
        <v>0</v>
      </c>
    </row>
    <row r="72" spans="1:14" s="192" customFormat="1">
      <c r="A72" s="782"/>
      <c r="B72" s="749" t="s">
        <v>269</v>
      </c>
      <c r="C72" s="727" t="s">
        <v>62</v>
      </c>
      <c r="D72" s="774">
        <v>2.52E-2</v>
      </c>
      <c r="E72" s="808">
        <v>8</v>
      </c>
      <c r="F72" s="809"/>
      <c r="G72" s="780">
        <f>F72*E72</f>
        <v>0</v>
      </c>
      <c r="H72" s="809"/>
      <c r="I72" s="781"/>
      <c r="J72" s="809"/>
      <c r="K72" s="781"/>
      <c r="L72" s="781">
        <f>K72+I72+G72</f>
        <v>0</v>
      </c>
    </row>
    <row r="73" spans="1:14" s="192" customFormat="1">
      <c r="A73" s="782"/>
      <c r="B73" s="749" t="s">
        <v>51</v>
      </c>
      <c r="C73" s="727" t="s">
        <v>2</v>
      </c>
      <c r="D73" s="774">
        <v>2.8999999999999998E-3</v>
      </c>
      <c r="E73" s="762">
        <f>E68*D73</f>
        <v>0.46399999999999997</v>
      </c>
      <c r="F73" s="809"/>
      <c r="G73" s="780">
        <f>F73*E73</f>
        <v>0</v>
      </c>
      <c r="H73" s="809"/>
      <c r="I73" s="781"/>
      <c r="J73" s="809"/>
      <c r="K73" s="781"/>
      <c r="L73" s="781">
        <f>K73+I73+G73</f>
        <v>0</v>
      </c>
    </row>
    <row r="74" spans="1:14" s="280" customFormat="1" ht="60">
      <c r="A74" s="751">
        <v>17</v>
      </c>
      <c r="B74" s="741" t="s">
        <v>382</v>
      </c>
      <c r="C74" s="721" t="s">
        <v>148</v>
      </c>
      <c r="D74" s="778"/>
      <c r="E74" s="779">
        <f>(7.6-3.2)*0.05</f>
        <v>0.21999999999999997</v>
      </c>
      <c r="F74" s="779"/>
      <c r="G74" s="761"/>
      <c r="H74" s="779"/>
      <c r="I74" s="761"/>
      <c r="J74" s="779"/>
      <c r="K74" s="761"/>
      <c r="L74" s="761"/>
    </row>
    <row r="75" spans="1:14" s="280" customFormat="1" ht="17.399999999999999">
      <c r="A75" s="733"/>
      <c r="B75" s="745" t="s">
        <v>52</v>
      </c>
      <c r="C75" s="725" t="s">
        <v>143</v>
      </c>
      <c r="D75" s="760">
        <v>1</v>
      </c>
      <c r="E75" s="755">
        <f>D75*E74</f>
        <v>0.21999999999999997</v>
      </c>
      <c r="F75" s="755"/>
      <c r="G75" s="739"/>
      <c r="H75" s="755"/>
      <c r="I75" s="739">
        <f>H75*E75</f>
        <v>0</v>
      </c>
      <c r="J75" s="755"/>
      <c r="K75" s="739"/>
      <c r="L75" s="739">
        <f>K75+I75+G75</f>
        <v>0</v>
      </c>
    </row>
    <row r="76" spans="1:14" s="281" customFormat="1">
      <c r="A76" s="753"/>
      <c r="B76" s="734" t="s">
        <v>49</v>
      </c>
      <c r="C76" s="725" t="s">
        <v>2</v>
      </c>
      <c r="D76" s="754">
        <v>0.28299999999999997</v>
      </c>
      <c r="E76" s="764">
        <f>D76*E74</f>
        <v>6.2259999999999989E-2</v>
      </c>
      <c r="F76" s="764"/>
      <c r="G76" s="776"/>
      <c r="H76" s="764"/>
      <c r="I76" s="776"/>
      <c r="J76" s="764"/>
      <c r="K76" s="776">
        <f>J76*E76</f>
        <v>0</v>
      </c>
      <c r="L76" s="776">
        <f>K76+I76+G76</f>
        <v>0</v>
      </c>
    </row>
    <row r="77" spans="1:14" s="280" customFormat="1" ht="17.399999999999999">
      <c r="A77" s="733"/>
      <c r="B77" s="745" t="s">
        <v>152</v>
      </c>
      <c r="C77" s="725" t="s">
        <v>143</v>
      </c>
      <c r="D77" s="760">
        <v>1.02</v>
      </c>
      <c r="E77" s="755">
        <f>D77*E74</f>
        <v>0.22439999999999999</v>
      </c>
      <c r="F77" s="755"/>
      <c r="G77" s="729">
        <f>F77*E77</f>
        <v>0</v>
      </c>
      <c r="H77" s="755"/>
      <c r="I77" s="739"/>
      <c r="J77" s="755"/>
      <c r="K77" s="739"/>
      <c r="L77" s="739">
        <f>K77+I77+G77</f>
        <v>0</v>
      </c>
    </row>
    <row r="78" spans="1:14" s="281" customFormat="1">
      <c r="A78" s="753"/>
      <c r="B78" s="749" t="s">
        <v>51</v>
      </c>
      <c r="C78" s="725" t="s">
        <v>2</v>
      </c>
      <c r="D78" s="754">
        <v>0.62</v>
      </c>
      <c r="E78" s="764">
        <f>D78*E74</f>
        <v>0.13639999999999999</v>
      </c>
      <c r="F78" s="764"/>
      <c r="G78" s="777">
        <f>F78*E78</f>
        <v>0</v>
      </c>
      <c r="H78" s="764"/>
      <c r="I78" s="776"/>
      <c r="J78" s="764"/>
      <c r="K78" s="776"/>
      <c r="L78" s="776">
        <f>K78+I78+G78</f>
        <v>0</v>
      </c>
    </row>
    <row r="79" spans="1:14" s="1" customFormat="1" ht="30">
      <c r="A79" s="787">
        <v>18</v>
      </c>
      <c r="B79" s="788" t="s">
        <v>272</v>
      </c>
      <c r="C79" s="787" t="s">
        <v>41</v>
      </c>
      <c r="D79" s="789"/>
      <c r="E79" s="779">
        <f>(7.6-3.2)*0.2</f>
        <v>0.87999999999999989</v>
      </c>
      <c r="F79" s="791"/>
      <c r="G79" s="792"/>
      <c r="H79" s="791"/>
      <c r="I79" s="793"/>
      <c r="J79" s="791"/>
      <c r="K79" s="793"/>
      <c r="L79" s="793"/>
      <c r="M79" s="359"/>
      <c r="N79" s="359"/>
    </row>
    <row r="80" spans="1:14" s="1" customFormat="1" ht="17.399999999999999">
      <c r="A80" s="782"/>
      <c r="B80" s="726" t="s">
        <v>42</v>
      </c>
      <c r="C80" s="727" t="s">
        <v>47</v>
      </c>
      <c r="D80" s="727">
        <v>1</v>
      </c>
      <c r="E80" s="728">
        <f>E79*D80</f>
        <v>0.87999999999999989</v>
      </c>
      <c r="F80" s="780"/>
      <c r="G80" s="780"/>
      <c r="H80" s="780"/>
      <c r="I80" s="781">
        <f>H80*E80</f>
        <v>0</v>
      </c>
      <c r="J80" s="780"/>
      <c r="K80" s="781"/>
      <c r="L80" s="781">
        <f>K80+I80+G80</f>
        <v>0</v>
      </c>
      <c r="M80" s="359"/>
      <c r="N80" s="359"/>
    </row>
    <row r="81" spans="1:14" s="1" customFormat="1">
      <c r="A81" s="782"/>
      <c r="B81" s="726" t="s">
        <v>49</v>
      </c>
      <c r="C81" s="727" t="s">
        <v>2</v>
      </c>
      <c r="D81" s="747">
        <v>0.77</v>
      </c>
      <c r="E81" s="748">
        <f>E79*D81</f>
        <v>0.67759999999999998</v>
      </c>
      <c r="F81" s="780"/>
      <c r="G81" s="780"/>
      <c r="H81" s="780"/>
      <c r="I81" s="781"/>
      <c r="J81" s="780"/>
      <c r="K81" s="781">
        <f>J81*E81</f>
        <v>0</v>
      </c>
      <c r="L81" s="781">
        <f>K81+I81+G81</f>
        <v>0</v>
      </c>
      <c r="M81" s="359"/>
      <c r="N81" s="359"/>
    </row>
    <row r="82" spans="1:14" s="1" customFormat="1" ht="17.399999999999999">
      <c r="A82" s="782"/>
      <c r="B82" s="383" t="s">
        <v>173</v>
      </c>
      <c r="C82" s="727" t="s">
        <v>47</v>
      </c>
      <c r="D82" s="774">
        <v>1.0149999999999999</v>
      </c>
      <c r="E82" s="748">
        <f>E79*D82</f>
        <v>0.89319999999999977</v>
      </c>
      <c r="F82" s="780"/>
      <c r="G82" s="780">
        <f>F82*E82</f>
        <v>0</v>
      </c>
      <c r="H82" s="780"/>
      <c r="I82" s="781"/>
      <c r="J82" s="780"/>
      <c r="K82" s="781"/>
      <c r="L82" s="781">
        <f>K82+I82+G82</f>
        <v>0</v>
      </c>
      <c r="M82" s="359"/>
      <c r="N82" s="359"/>
    </row>
    <row r="83" spans="1:14" s="1" customFormat="1">
      <c r="A83" s="782"/>
      <c r="B83" s="726" t="s">
        <v>60</v>
      </c>
      <c r="C83" s="727" t="s">
        <v>48</v>
      </c>
      <c r="D83" s="747"/>
      <c r="E83" s="784">
        <v>3.7999999999999999E-2</v>
      </c>
      <c r="F83" s="763"/>
      <c r="G83" s="780">
        <f>F83*E83</f>
        <v>0</v>
      </c>
      <c r="H83" s="780"/>
      <c r="I83" s="781"/>
      <c r="J83" s="780"/>
      <c r="K83" s="781"/>
      <c r="L83" s="781">
        <f t="shared" ref="L83:L87" si="0">K83+I83+G83</f>
        <v>0</v>
      </c>
      <c r="M83" s="359"/>
      <c r="N83" s="359"/>
    </row>
    <row r="84" spans="1:14" s="192" customFormat="1" ht="30">
      <c r="A84" s="733"/>
      <c r="B84" s="749" t="s">
        <v>270</v>
      </c>
      <c r="C84" s="725" t="s">
        <v>62</v>
      </c>
      <c r="D84" s="735"/>
      <c r="E84" s="755">
        <v>3</v>
      </c>
      <c r="F84" s="755"/>
      <c r="G84" s="729">
        <f>F84*E84</f>
        <v>0</v>
      </c>
      <c r="H84" s="736"/>
      <c r="I84" s="729"/>
      <c r="J84" s="736"/>
      <c r="K84" s="729"/>
      <c r="L84" s="729">
        <f>K84+I84+G84</f>
        <v>0</v>
      </c>
    </row>
    <row r="85" spans="1:14" s="1" customFormat="1" ht="30">
      <c r="A85" s="733"/>
      <c r="B85" s="117" t="s">
        <v>174</v>
      </c>
      <c r="C85" s="725" t="s">
        <v>53</v>
      </c>
      <c r="D85" s="725">
        <v>7.5399999999999995E-2</v>
      </c>
      <c r="E85" s="729">
        <f>D85*E79</f>
        <v>6.6351999999999994E-2</v>
      </c>
      <c r="F85" s="729"/>
      <c r="G85" s="739">
        <f t="shared" ref="G85:G87" si="1">F85*E85</f>
        <v>0</v>
      </c>
      <c r="H85" s="729"/>
      <c r="I85" s="755"/>
      <c r="J85" s="733"/>
      <c r="K85" s="733"/>
      <c r="L85" s="739">
        <f t="shared" si="0"/>
        <v>0</v>
      </c>
      <c r="M85" s="359"/>
      <c r="N85" s="359"/>
    </row>
    <row r="86" spans="1:14" s="2" customFormat="1" ht="17.399999999999999">
      <c r="A86" s="753"/>
      <c r="B86" s="785" t="s">
        <v>54</v>
      </c>
      <c r="C86" s="725" t="s">
        <v>47</v>
      </c>
      <c r="D86" s="754">
        <v>8.0000000000000004E-4</v>
      </c>
      <c r="E86" s="754">
        <f>D86*E79</f>
        <v>7.0399999999999998E-4</v>
      </c>
      <c r="F86" s="786"/>
      <c r="G86" s="777">
        <f t="shared" si="1"/>
        <v>0</v>
      </c>
      <c r="H86" s="776"/>
      <c r="I86" s="776"/>
      <c r="J86" s="776"/>
      <c r="K86" s="776"/>
      <c r="L86" s="776">
        <f t="shared" si="0"/>
        <v>0</v>
      </c>
      <c r="M86" s="249"/>
      <c r="N86" s="249"/>
    </row>
    <row r="87" spans="1:14" s="1" customFormat="1">
      <c r="A87" s="782"/>
      <c r="B87" s="726" t="s">
        <v>51</v>
      </c>
      <c r="C87" s="727" t="s">
        <v>2</v>
      </c>
      <c r="D87" s="747">
        <v>7.0000000000000007E-2</v>
      </c>
      <c r="E87" s="748">
        <f>E79*D87</f>
        <v>6.1599999999999995E-2</v>
      </c>
      <c r="F87" s="780"/>
      <c r="G87" s="780">
        <f t="shared" si="1"/>
        <v>0</v>
      </c>
      <c r="H87" s="780"/>
      <c r="I87" s="781"/>
      <c r="J87" s="780"/>
      <c r="K87" s="781"/>
      <c r="L87" s="781">
        <f t="shared" si="0"/>
        <v>0</v>
      </c>
      <c r="M87" s="359"/>
      <c r="N87" s="359"/>
    </row>
    <row r="88" spans="1:14" s="12" customFormat="1" ht="30">
      <c r="A88" s="311">
        <v>19</v>
      </c>
      <c r="B88" s="302" t="s">
        <v>409</v>
      </c>
      <c r="C88" s="311" t="s">
        <v>48</v>
      </c>
      <c r="D88" s="410"/>
      <c r="E88" s="395">
        <f>5.1*15.7/1000</f>
        <v>8.0069999999999988E-2</v>
      </c>
      <c r="F88" s="317"/>
      <c r="G88" s="318"/>
      <c r="H88" s="317"/>
      <c r="I88" s="318"/>
      <c r="J88" s="317"/>
      <c r="K88" s="318"/>
      <c r="L88" s="318"/>
    </row>
    <row r="89" spans="1:14" s="12" customFormat="1">
      <c r="A89" s="1010"/>
      <c r="B89" s="117" t="s">
        <v>42</v>
      </c>
      <c r="C89" s="1010" t="s">
        <v>66</v>
      </c>
      <c r="D89" s="119"/>
      <c r="E89" s="120">
        <v>17</v>
      </c>
      <c r="F89" s="121"/>
      <c r="G89" s="70"/>
      <c r="H89" s="121"/>
      <c r="I89" s="70">
        <f>H89*E89</f>
        <v>0</v>
      </c>
      <c r="J89" s="121"/>
      <c r="K89" s="70"/>
      <c r="L89" s="70">
        <f>K89+I89+G89</f>
        <v>0</v>
      </c>
    </row>
    <row r="90" spans="1:14" s="12" customFormat="1">
      <c r="A90" s="111"/>
      <c r="B90" s="117" t="s">
        <v>49</v>
      </c>
      <c r="C90" s="1010" t="s">
        <v>67</v>
      </c>
      <c r="D90" s="611">
        <v>4.07</v>
      </c>
      <c r="E90" s="97">
        <f>D90*E88</f>
        <v>0.32588489999999998</v>
      </c>
      <c r="F90" s="96"/>
      <c r="G90" s="151"/>
      <c r="H90" s="97"/>
      <c r="I90" s="132"/>
      <c r="J90" s="97"/>
      <c r="K90" s="123">
        <f>J90*E90</f>
        <v>0</v>
      </c>
      <c r="L90" s="123">
        <f>K90+I90+G90</f>
        <v>0</v>
      </c>
    </row>
    <row r="91" spans="1:14" s="1" customFormat="1" ht="17.399999999999999">
      <c r="A91" s="782"/>
      <c r="B91" s="726" t="s">
        <v>410</v>
      </c>
      <c r="C91" s="725" t="s">
        <v>53</v>
      </c>
      <c r="D91" s="747"/>
      <c r="E91" s="784">
        <f>17*0.3</f>
        <v>5.0999999999999996</v>
      </c>
      <c r="F91" s="763"/>
      <c r="G91" s="780">
        <f>F91*E91</f>
        <v>0</v>
      </c>
      <c r="H91" s="780"/>
      <c r="I91" s="781"/>
      <c r="J91" s="780"/>
      <c r="K91" s="781"/>
      <c r="L91" s="781">
        <f>K91+I91+G91</f>
        <v>0</v>
      </c>
      <c r="M91" s="359"/>
      <c r="N91" s="359"/>
    </row>
    <row r="92" spans="1:14" s="1" customFormat="1">
      <c r="A92" s="782"/>
      <c r="B92" s="726" t="s">
        <v>57</v>
      </c>
      <c r="C92" s="725" t="s">
        <v>58</v>
      </c>
      <c r="D92" s="747">
        <v>15.2</v>
      </c>
      <c r="E92" s="784">
        <f>D92*E88</f>
        <v>1.2170639999999997</v>
      </c>
      <c r="F92" s="763"/>
      <c r="G92" s="123">
        <f>F92*E92</f>
        <v>0</v>
      </c>
      <c r="H92" s="97"/>
      <c r="I92" s="132"/>
      <c r="J92" s="131"/>
      <c r="K92" s="132"/>
      <c r="L92" s="123">
        <f>K92+I92+G92</f>
        <v>0</v>
      </c>
      <c r="M92" s="359"/>
      <c r="N92" s="359"/>
    </row>
    <row r="93" spans="1:14" s="12" customFormat="1">
      <c r="A93" s="111"/>
      <c r="B93" s="152" t="s">
        <v>51</v>
      </c>
      <c r="C93" s="1010" t="s">
        <v>2</v>
      </c>
      <c r="D93" s="611">
        <v>2.78</v>
      </c>
      <c r="E93" s="97">
        <f>D93*E88</f>
        <v>0.22259459999999995</v>
      </c>
      <c r="F93" s="97"/>
      <c r="G93" s="123">
        <f>F93*E93</f>
        <v>0</v>
      </c>
      <c r="H93" s="97"/>
      <c r="I93" s="132"/>
      <c r="J93" s="131"/>
      <c r="K93" s="132"/>
      <c r="L93" s="123">
        <f>K93+I93+G93</f>
        <v>0</v>
      </c>
    </row>
    <row r="94" spans="1:14" s="12" customFormat="1" ht="30">
      <c r="A94" s="311">
        <v>20</v>
      </c>
      <c r="B94" s="302" t="s">
        <v>362</v>
      </c>
      <c r="C94" s="311" t="s">
        <v>48</v>
      </c>
      <c r="D94" s="410"/>
      <c r="E94" s="395">
        <f>0.208+0.329</f>
        <v>0.53700000000000003</v>
      </c>
      <c r="F94" s="317"/>
      <c r="G94" s="318"/>
      <c r="H94" s="317"/>
      <c r="I94" s="318"/>
      <c r="J94" s="317"/>
      <c r="K94" s="318"/>
      <c r="L94" s="318"/>
    </row>
    <row r="95" spans="1:14" s="12" customFormat="1">
      <c r="A95" s="1010"/>
      <c r="B95" s="117" t="s">
        <v>42</v>
      </c>
      <c r="C95" s="1010" t="s">
        <v>43</v>
      </c>
      <c r="D95" s="119">
        <v>34.9</v>
      </c>
      <c r="E95" s="120">
        <f>D95*E94</f>
        <v>18.741299999999999</v>
      </c>
      <c r="F95" s="121"/>
      <c r="G95" s="70"/>
      <c r="H95" s="121"/>
      <c r="I95" s="70">
        <f>H95*E95</f>
        <v>0</v>
      </c>
      <c r="J95" s="121"/>
      <c r="K95" s="70"/>
      <c r="L95" s="70">
        <f>K95+I95+G95</f>
        <v>0</v>
      </c>
    </row>
    <row r="96" spans="1:14" s="12" customFormat="1">
      <c r="A96" s="111"/>
      <c r="B96" s="117" t="s">
        <v>49</v>
      </c>
      <c r="C96" s="1010" t="s">
        <v>67</v>
      </c>
      <c r="D96" s="611">
        <v>4.07</v>
      </c>
      <c r="E96" s="97">
        <f>D96*E94</f>
        <v>2.1855900000000004</v>
      </c>
      <c r="F96" s="96"/>
      <c r="G96" s="151"/>
      <c r="H96" s="97"/>
      <c r="I96" s="132"/>
      <c r="J96" s="97"/>
      <c r="K96" s="123">
        <f>J96*E96</f>
        <v>0</v>
      </c>
      <c r="L96" s="123">
        <f>K96+I96+G96</f>
        <v>0</v>
      </c>
    </row>
    <row r="97" spans="1:14" s="1" customFormat="1">
      <c r="A97" s="782"/>
      <c r="B97" s="726" t="s">
        <v>363</v>
      </c>
      <c r="C97" s="725" t="s">
        <v>48</v>
      </c>
      <c r="D97" s="747"/>
      <c r="E97" s="784">
        <f>20*10.4/1000</f>
        <v>0.20799999999999999</v>
      </c>
      <c r="F97" s="763"/>
      <c r="G97" s="780">
        <f t="shared" ref="G97:G98" si="2">F97*E97</f>
        <v>0</v>
      </c>
      <c r="H97" s="780"/>
      <c r="I97" s="781"/>
      <c r="J97" s="780"/>
      <c r="K97" s="781"/>
      <c r="L97" s="781">
        <f t="shared" ref="L97:L98" si="3">K97+I97+G97</f>
        <v>0</v>
      </c>
      <c r="M97" s="359"/>
      <c r="N97" s="359"/>
    </row>
    <row r="98" spans="1:14" s="1" customFormat="1">
      <c r="A98" s="782"/>
      <c r="B98" s="726" t="s">
        <v>364</v>
      </c>
      <c r="C98" s="725" t="s">
        <v>66</v>
      </c>
      <c r="D98" s="747"/>
      <c r="E98" s="784">
        <v>20</v>
      </c>
      <c r="F98" s="763"/>
      <c r="G98" s="780">
        <f t="shared" si="2"/>
        <v>0</v>
      </c>
      <c r="H98" s="780"/>
      <c r="I98" s="781"/>
      <c r="J98" s="780"/>
      <c r="K98" s="781"/>
      <c r="L98" s="781">
        <f t="shared" si="3"/>
        <v>0</v>
      </c>
      <c r="M98" s="359"/>
      <c r="N98" s="359"/>
    </row>
    <row r="99" spans="1:14" s="1" customFormat="1">
      <c r="A99" s="782"/>
      <c r="B99" s="726" t="s">
        <v>57</v>
      </c>
      <c r="C99" s="725" t="s">
        <v>58</v>
      </c>
      <c r="D99" s="747">
        <v>15.2</v>
      </c>
      <c r="E99" s="784">
        <f>D99*E94</f>
        <v>8.1623999999999999</v>
      </c>
      <c r="F99" s="763"/>
      <c r="G99" s="123">
        <f>F99*E99</f>
        <v>0</v>
      </c>
      <c r="H99" s="97"/>
      <c r="I99" s="132"/>
      <c r="J99" s="131"/>
      <c r="K99" s="132"/>
      <c r="L99" s="123">
        <f>K99+I99+G99</f>
        <v>0</v>
      </c>
      <c r="M99" s="359"/>
      <c r="N99" s="359"/>
    </row>
    <row r="100" spans="1:14" s="12" customFormat="1">
      <c r="A100" s="111"/>
      <c r="B100" s="152" t="s">
        <v>51</v>
      </c>
      <c r="C100" s="1010" t="s">
        <v>2</v>
      </c>
      <c r="D100" s="611">
        <v>2.78</v>
      </c>
      <c r="E100" s="97">
        <f>D100*E94</f>
        <v>1.4928600000000001</v>
      </c>
      <c r="F100" s="97"/>
      <c r="G100" s="123">
        <f>F100*E100</f>
        <v>0</v>
      </c>
      <c r="H100" s="97"/>
      <c r="I100" s="132"/>
      <c r="J100" s="131"/>
      <c r="K100" s="132"/>
      <c r="L100" s="123">
        <f>K100+I100+G100</f>
        <v>0</v>
      </c>
    </row>
    <row r="101" spans="1:14" s="12" customFormat="1" ht="45">
      <c r="A101" s="311">
        <v>21</v>
      </c>
      <c r="B101" s="302" t="s">
        <v>365</v>
      </c>
      <c r="C101" s="311" t="s">
        <v>153</v>
      </c>
      <c r="D101" s="410"/>
      <c r="E101" s="395">
        <f>5.1+10.56</f>
        <v>15.66</v>
      </c>
      <c r="F101" s="317"/>
      <c r="G101" s="318"/>
      <c r="H101" s="317"/>
      <c r="I101" s="318"/>
      <c r="J101" s="317"/>
      <c r="K101" s="318"/>
      <c r="L101" s="318"/>
    </row>
    <row r="102" spans="1:14" s="12" customFormat="1" ht="17.399999999999999">
      <c r="A102" s="1010"/>
      <c r="B102" s="117" t="s">
        <v>42</v>
      </c>
      <c r="C102" s="1058" t="s">
        <v>155</v>
      </c>
      <c r="D102" s="119">
        <v>1</v>
      </c>
      <c r="E102" s="120">
        <f>D102*E101</f>
        <v>15.66</v>
      </c>
      <c r="F102" s="121"/>
      <c r="G102" s="70"/>
      <c r="H102" s="121"/>
      <c r="I102" s="70">
        <f>H102*E102</f>
        <v>0</v>
      </c>
      <c r="J102" s="121"/>
      <c r="K102" s="70"/>
      <c r="L102" s="70">
        <f>K102+I102+G102</f>
        <v>0</v>
      </c>
    </row>
    <row r="103" spans="1:14" s="12" customFormat="1">
      <c r="A103" s="111"/>
      <c r="B103" s="117" t="s">
        <v>49</v>
      </c>
      <c r="C103" s="1010" t="s">
        <v>67</v>
      </c>
      <c r="D103" s="611">
        <v>2.9999999999999997E-4</v>
      </c>
      <c r="E103" s="97">
        <f>D103*E101</f>
        <v>4.6979999999999999E-3</v>
      </c>
      <c r="F103" s="96"/>
      <c r="G103" s="151"/>
      <c r="H103" s="97"/>
      <c r="I103" s="132"/>
      <c r="J103" s="97"/>
      <c r="K103" s="123">
        <f>J103*E103</f>
        <v>0</v>
      </c>
      <c r="L103" s="123">
        <f>K103+I103+G103</f>
        <v>0</v>
      </c>
    </row>
    <row r="104" spans="1:14" s="12" customFormat="1" ht="30">
      <c r="A104" s="1010"/>
      <c r="B104" s="52" t="s">
        <v>361</v>
      </c>
      <c r="C104" s="1010" t="s">
        <v>58</v>
      </c>
      <c r="D104" s="97">
        <f>(25.1+0.2+2.7)*0.01</f>
        <v>0.28000000000000003</v>
      </c>
      <c r="E104" s="97">
        <f>D104*E101</f>
        <v>4.3848000000000003</v>
      </c>
      <c r="F104" s="121"/>
      <c r="G104" s="70">
        <f>F104*E104</f>
        <v>0</v>
      </c>
      <c r="H104" s="121"/>
      <c r="I104" s="70"/>
      <c r="J104" s="121"/>
      <c r="K104" s="70"/>
      <c r="L104" s="70">
        <f>K104+I104+G104</f>
        <v>0</v>
      </c>
    </row>
    <row r="105" spans="1:14" s="359" customFormat="1" ht="21.9" customHeight="1">
      <c r="A105" s="725"/>
      <c r="B105" s="745" t="s">
        <v>69</v>
      </c>
      <c r="C105" s="767" t="s">
        <v>58</v>
      </c>
      <c r="D105" s="768">
        <v>0.15</v>
      </c>
      <c r="E105" s="769">
        <f>D105*E101</f>
        <v>2.3489999999999998</v>
      </c>
      <c r="F105" s="729"/>
      <c r="G105" s="729">
        <f>F105*E105</f>
        <v>0</v>
      </c>
      <c r="H105" s="725"/>
      <c r="I105" s="729"/>
      <c r="J105" s="725"/>
      <c r="K105" s="725"/>
      <c r="L105" s="729">
        <f>K105+I105+G105</f>
        <v>0</v>
      </c>
    </row>
    <row r="106" spans="1:14" s="12" customFormat="1">
      <c r="A106" s="111"/>
      <c r="B106" s="152" t="s">
        <v>51</v>
      </c>
      <c r="C106" s="1010" t="s">
        <v>2</v>
      </c>
      <c r="D106" s="611">
        <v>1.9E-3</v>
      </c>
      <c r="E106" s="97">
        <f>D106*E101</f>
        <v>2.9753999999999999E-2</v>
      </c>
      <c r="F106" s="97"/>
      <c r="G106" s="123">
        <f>F106*E106</f>
        <v>0</v>
      </c>
      <c r="H106" s="97"/>
      <c r="I106" s="132"/>
      <c r="J106" s="131"/>
      <c r="K106" s="132"/>
      <c r="L106" s="123">
        <f>K106+I106+G106</f>
        <v>0</v>
      </c>
    </row>
    <row r="107" spans="1:14" s="401" customFormat="1" ht="27" customHeight="1">
      <c r="A107" s="363">
        <v>22</v>
      </c>
      <c r="B107" s="363" t="s">
        <v>274</v>
      </c>
      <c r="C107" s="363" t="s">
        <v>151</v>
      </c>
      <c r="D107" s="363"/>
      <c r="E107" s="400">
        <v>7.6</v>
      </c>
      <c r="F107" s="373"/>
      <c r="G107" s="373"/>
      <c r="H107" s="373"/>
      <c r="I107" s="373"/>
      <c r="J107" s="373"/>
      <c r="K107" s="373"/>
      <c r="L107" s="373"/>
    </row>
    <row r="108" spans="1:14" s="402" customFormat="1" ht="17.399999999999999">
      <c r="A108" s="360"/>
      <c r="B108" s="383" t="s">
        <v>42</v>
      </c>
      <c r="C108" s="725" t="s">
        <v>53</v>
      </c>
      <c r="D108" s="384">
        <v>1</v>
      </c>
      <c r="E108" s="1119">
        <f>D108*E107</f>
        <v>7.6</v>
      </c>
      <c r="F108" s="361"/>
      <c r="G108" s="361"/>
      <c r="H108" s="361"/>
      <c r="I108" s="361">
        <f>H108*E108</f>
        <v>0</v>
      </c>
      <c r="J108" s="361"/>
      <c r="K108" s="361"/>
      <c r="L108" s="361">
        <f>K108+I108+G108</f>
        <v>0</v>
      </c>
    </row>
    <row r="109" spans="1:14" s="402" customFormat="1">
      <c r="A109" s="360"/>
      <c r="B109" s="383" t="s">
        <v>49</v>
      </c>
      <c r="C109" s="384" t="s">
        <v>2</v>
      </c>
      <c r="D109" s="391">
        <f>(0.95+4*0.23)/100</f>
        <v>1.8700000000000001E-2</v>
      </c>
      <c r="E109" s="388">
        <f>D109*E107</f>
        <v>0.14212</v>
      </c>
      <c r="F109" s="361"/>
      <c r="G109" s="361"/>
      <c r="H109" s="361"/>
      <c r="I109" s="361"/>
      <c r="J109" s="361"/>
      <c r="K109" s="361">
        <f>E109*J109</f>
        <v>0</v>
      </c>
      <c r="L109" s="361">
        <f>K109+I109+G109</f>
        <v>0</v>
      </c>
    </row>
    <row r="110" spans="1:14" s="402" customFormat="1" ht="17.399999999999999">
      <c r="A110" s="360"/>
      <c r="B110" s="404" t="s">
        <v>88</v>
      </c>
      <c r="C110" s="384" t="s">
        <v>143</v>
      </c>
      <c r="D110" s="405">
        <f>(2.04+4*0.51)/100</f>
        <v>4.0800000000000003E-2</v>
      </c>
      <c r="E110" s="361">
        <f>D110*E107</f>
        <v>0.31008000000000002</v>
      </c>
      <c r="F110" s="403"/>
      <c r="G110" s="361">
        <f>F110*E110</f>
        <v>0</v>
      </c>
      <c r="H110" s="361"/>
      <c r="I110" s="361"/>
      <c r="J110" s="361"/>
      <c r="K110" s="361"/>
      <c r="L110" s="361">
        <f>K110+I110+G110</f>
        <v>0</v>
      </c>
    </row>
    <row r="111" spans="1:14" s="402" customFormat="1" ht="15" customHeight="1">
      <c r="A111" s="360"/>
      <c r="B111" s="383" t="s">
        <v>51</v>
      </c>
      <c r="C111" s="384" t="s">
        <v>2</v>
      </c>
      <c r="D111" s="405">
        <v>6.3600000000000004E-2</v>
      </c>
      <c r="E111" s="361">
        <f>D111*E107</f>
        <v>0.48336000000000001</v>
      </c>
      <c r="F111" s="361"/>
      <c r="G111" s="361">
        <f>F111*E111</f>
        <v>0</v>
      </c>
      <c r="H111" s="361"/>
      <c r="I111" s="361"/>
      <c r="J111" s="361"/>
      <c r="K111" s="361"/>
      <c r="L111" s="361">
        <f>K111+I111+G111</f>
        <v>0</v>
      </c>
    </row>
    <row r="112" spans="1:14" s="74" customFormat="1" ht="27" customHeight="1">
      <c r="A112" s="311">
        <v>23</v>
      </c>
      <c r="B112" s="411" t="s">
        <v>273</v>
      </c>
      <c r="C112" s="311" t="s">
        <v>151</v>
      </c>
      <c r="D112" s="315"/>
      <c r="E112" s="316">
        <v>7.6</v>
      </c>
      <c r="F112" s="317"/>
      <c r="G112" s="318"/>
      <c r="H112" s="317"/>
      <c r="I112" s="318"/>
      <c r="J112" s="317"/>
      <c r="K112" s="318"/>
      <c r="L112" s="318"/>
    </row>
    <row r="113" spans="1:12" s="71" customFormat="1" ht="17.399999999999999">
      <c r="A113" s="111"/>
      <c r="B113" s="117" t="s">
        <v>72</v>
      </c>
      <c r="C113" s="1009" t="s">
        <v>155</v>
      </c>
      <c r="D113" s="113">
        <v>1</v>
      </c>
      <c r="E113" s="120">
        <f>D113*E112</f>
        <v>7.6</v>
      </c>
      <c r="F113" s="131"/>
      <c r="G113" s="132"/>
      <c r="H113" s="275"/>
      <c r="I113" s="123">
        <f>H113*E113</f>
        <v>0</v>
      </c>
      <c r="J113" s="131"/>
      <c r="K113" s="132"/>
      <c r="L113" s="123">
        <f t="shared" ref="L113:L118" si="4">K113+I113+G113</f>
        <v>0</v>
      </c>
    </row>
    <row r="114" spans="1:12" s="71" customFormat="1">
      <c r="A114" s="111"/>
      <c r="B114" s="117" t="s">
        <v>49</v>
      </c>
      <c r="C114" s="1009" t="s">
        <v>67</v>
      </c>
      <c r="D114" s="611">
        <v>0.02</v>
      </c>
      <c r="E114" s="97">
        <f>D114*E112</f>
        <v>0.152</v>
      </c>
      <c r="F114" s="174"/>
      <c r="G114" s="132"/>
      <c r="H114" s="97"/>
      <c r="I114" s="132"/>
      <c r="J114" s="97"/>
      <c r="K114" s="123">
        <f>J114*E114</f>
        <v>0</v>
      </c>
      <c r="L114" s="123">
        <f t="shared" si="4"/>
        <v>0</v>
      </c>
    </row>
    <row r="115" spans="1:12" s="71" customFormat="1" ht="30">
      <c r="A115" s="111"/>
      <c r="B115" s="117" t="s">
        <v>265</v>
      </c>
      <c r="C115" s="1009" t="s">
        <v>155</v>
      </c>
      <c r="D115" s="611">
        <v>1.02</v>
      </c>
      <c r="E115" s="97">
        <f>D115*E112</f>
        <v>7.7519999999999998</v>
      </c>
      <c r="F115" s="97"/>
      <c r="G115" s="123">
        <f>F115*E115</f>
        <v>0</v>
      </c>
      <c r="H115" s="97"/>
      <c r="I115" s="132"/>
      <c r="J115" s="131"/>
      <c r="K115" s="132"/>
      <c r="L115" s="123">
        <f t="shared" si="4"/>
        <v>0</v>
      </c>
    </row>
    <row r="116" spans="1:12" s="71" customFormat="1">
      <c r="A116" s="111"/>
      <c r="B116" s="171" t="s">
        <v>85</v>
      </c>
      <c r="C116" s="160" t="s">
        <v>58</v>
      </c>
      <c r="D116" s="611">
        <v>6.25</v>
      </c>
      <c r="E116" s="97">
        <f>D116*E112</f>
        <v>47.5</v>
      </c>
      <c r="F116" s="121"/>
      <c r="G116" s="123">
        <f>F116*E116</f>
        <v>0</v>
      </c>
      <c r="H116" s="97"/>
      <c r="I116" s="132"/>
      <c r="J116" s="131"/>
      <c r="K116" s="132"/>
      <c r="L116" s="123">
        <f t="shared" si="4"/>
        <v>0</v>
      </c>
    </row>
    <row r="117" spans="1:12" s="71" customFormat="1">
      <c r="A117" s="111"/>
      <c r="B117" s="171" t="s">
        <v>86</v>
      </c>
      <c r="C117" s="160" t="s">
        <v>58</v>
      </c>
      <c r="D117" s="611">
        <v>0.2</v>
      </c>
      <c r="E117" s="97">
        <f>D117*E112</f>
        <v>1.52</v>
      </c>
      <c r="F117" s="121"/>
      <c r="G117" s="123">
        <f>F117*E117</f>
        <v>0</v>
      </c>
      <c r="H117" s="97"/>
      <c r="I117" s="132"/>
      <c r="J117" s="131"/>
      <c r="K117" s="132"/>
      <c r="L117" s="123">
        <f t="shared" si="4"/>
        <v>0</v>
      </c>
    </row>
    <row r="118" spans="1:12" s="71" customFormat="1">
      <c r="A118" s="111"/>
      <c r="B118" s="117" t="s">
        <v>51</v>
      </c>
      <c r="C118" s="1009" t="s">
        <v>67</v>
      </c>
      <c r="D118" s="611">
        <v>7.0000000000000001E-3</v>
      </c>
      <c r="E118" s="97">
        <f>D118*E112</f>
        <v>5.3199999999999997E-2</v>
      </c>
      <c r="F118" s="97"/>
      <c r="G118" s="123">
        <f>F118*E118</f>
        <v>0</v>
      </c>
      <c r="H118" s="97"/>
      <c r="I118" s="132"/>
      <c r="J118" s="131"/>
      <c r="K118" s="132"/>
      <c r="L118" s="123">
        <f t="shared" si="4"/>
        <v>0</v>
      </c>
    </row>
    <row r="119" spans="1:12" s="279" customFormat="1">
      <c r="A119" s="111"/>
      <c r="B119" s="362" t="s">
        <v>198</v>
      </c>
      <c r="C119" s="118"/>
      <c r="D119" s="611"/>
      <c r="E119" s="121"/>
      <c r="F119" s="121"/>
      <c r="G119" s="70"/>
      <c r="H119" s="121"/>
      <c r="I119" s="132"/>
      <c r="J119" s="131"/>
      <c r="K119" s="123"/>
      <c r="L119" s="123"/>
    </row>
    <row r="120" spans="1:12" s="289" customFormat="1" ht="36.6" customHeight="1">
      <c r="A120" s="289">
        <v>24</v>
      </c>
      <c r="B120" s="302" t="s">
        <v>369</v>
      </c>
      <c r="C120" s="311" t="s">
        <v>48</v>
      </c>
      <c r="D120" s="488"/>
      <c r="E120" s="395">
        <f>4*75.52/1000</f>
        <v>0.30207999999999996</v>
      </c>
      <c r="F120" s="393"/>
      <c r="G120" s="318"/>
      <c r="H120" s="395"/>
      <c r="I120" s="308"/>
      <c r="J120" s="395"/>
      <c r="K120" s="308"/>
      <c r="L120" s="318"/>
    </row>
    <row r="121" spans="1:12">
      <c r="A121" s="111"/>
      <c r="B121" s="117" t="s">
        <v>42</v>
      </c>
      <c r="C121" s="1010" t="s">
        <v>43</v>
      </c>
      <c r="D121" s="119">
        <v>34.9</v>
      </c>
      <c r="E121" s="120">
        <f>D121*E120</f>
        <v>10.542591999999997</v>
      </c>
      <c r="F121" s="121"/>
      <c r="G121" s="70"/>
      <c r="H121" s="121"/>
      <c r="I121" s="70">
        <f>H121*E121</f>
        <v>0</v>
      </c>
      <c r="J121" s="121"/>
      <c r="K121" s="70"/>
      <c r="L121" s="70">
        <f>K121+I121+G121</f>
        <v>0</v>
      </c>
    </row>
    <row r="122" spans="1:12" s="472" customFormat="1" ht="14.4" customHeight="1">
      <c r="A122" s="909"/>
      <c r="B122" s="910" t="s">
        <v>326</v>
      </c>
      <c r="C122" s="637" t="s">
        <v>62</v>
      </c>
      <c r="D122" s="911"/>
      <c r="E122" s="911">
        <v>4</v>
      </c>
      <c r="F122" s="911"/>
      <c r="G122" s="367">
        <f>F122*E122</f>
        <v>0</v>
      </c>
      <c r="H122" s="367"/>
      <c r="I122" s="369"/>
      <c r="J122" s="367"/>
      <c r="K122" s="369"/>
      <c r="L122" s="1021">
        <f t="shared" ref="L122" si="5">K122+I122+G122</f>
        <v>0</v>
      </c>
    </row>
    <row r="123" spans="1:12" s="281" customFormat="1">
      <c r="A123" s="111"/>
      <c r="B123" s="117"/>
      <c r="C123" s="118"/>
      <c r="D123" s="113"/>
      <c r="E123" s="97"/>
      <c r="F123" s="121"/>
      <c r="G123" s="123"/>
      <c r="H123" s="121"/>
      <c r="I123" s="132"/>
      <c r="J123" s="131"/>
      <c r="K123" s="132"/>
      <c r="L123" s="123"/>
    </row>
    <row r="124" spans="1:12" s="12" customFormat="1" ht="45">
      <c r="A124" s="311">
        <v>25</v>
      </c>
      <c r="B124" s="302" t="s">
        <v>68</v>
      </c>
      <c r="C124" s="311" t="s">
        <v>153</v>
      </c>
      <c r="D124" s="410"/>
      <c r="E124" s="395">
        <f>9.62*4</f>
        <v>38.479999999999997</v>
      </c>
      <c r="F124" s="317"/>
      <c r="G124" s="318"/>
      <c r="H124" s="317"/>
      <c r="I124" s="318"/>
      <c r="J124" s="317"/>
      <c r="K124" s="318"/>
      <c r="L124" s="318"/>
    </row>
    <row r="125" spans="1:12" s="12" customFormat="1" ht="17.399999999999999">
      <c r="A125" s="1010"/>
      <c r="B125" s="117" t="s">
        <v>42</v>
      </c>
      <c r="C125" s="1058" t="s">
        <v>155</v>
      </c>
      <c r="D125" s="119">
        <v>1</v>
      </c>
      <c r="E125" s="120">
        <f>D125*E124</f>
        <v>38.479999999999997</v>
      </c>
      <c r="F125" s="121"/>
      <c r="G125" s="70"/>
      <c r="H125" s="121"/>
      <c r="I125" s="70">
        <f>H125*E125</f>
        <v>0</v>
      </c>
      <c r="J125" s="121"/>
      <c r="K125" s="70"/>
      <c r="L125" s="70">
        <f>K125+I125+G125</f>
        <v>0</v>
      </c>
    </row>
    <row r="126" spans="1:12" s="12" customFormat="1">
      <c r="A126" s="111"/>
      <c r="B126" s="117" t="s">
        <v>49</v>
      </c>
      <c r="C126" s="1010" t="s">
        <v>67</v>
      </c>
      <c r="D126" s="611">
        <v>2.9999999999999997E-4</v>
      </c>
      <c r="E126" s="97">
        <f>D126*E124</f>
        <v>1.1543999999999999E-2</v>
      </c>
      <c r="F126" s="96"/>
      <c r="G126" s="151"/>
      <c r="H126" s="97"/>
      <c r="I126" s="132"/>
      <c r="J126" s="97"/>
      <c r="K126" s="123">
        <f>J126*E126</f>
        <v>0</v>
      </c>
      <c r="L126" s="123">
        <f>K126+I126+G126</f>
        <v>0</v>
      </c>
    </row>
    <row r="127" spans="1:12" s="12" customFormat="1" ht="30">
      <c r="A127" s="1010"/>
      <c r="B127" s="52" t="s">
        <v>361</v>
      </c>
      <c r="C127" s="1010" t="s">
        <v>58</v>
      </c>
      <c r="D127" s="97">
        <f>(25.1+0.2+2.7)*0.01</f>
        <v>0.28000000000000003</v>
      </c>
      <c r="E127" s="97">
        <f>D127*E124</f>
        <v>10.7744</v>
      </c>
      <c r="F127" s="121"/>
      <c r="G127" s="70">
        <f>F127*E127</f>
        <v>0</v>
      </c>
      <c r="H127" s="121"/>
      <c r="I127" s="70"/>
      <c r="J127" s="121"/>
      <c r="K127" s="70"/>
      <c r="L127" s="70">
        <f>K127+I127+G127</f>
        <v>0</v>
      </c>
    </row>
    <row r="128" spans="1:12" s="359" customFormat="1" ht="21.9" customHeight="1">
      <c r="A128" s="725"/>
      <c r="B128" s="745" t="s">
        <v>69</v>
      </c>
      <c r="C128" s="767" t="s">
        <v>58</v>
      </c>
      <c r="D128" s="768">
        <v>0.15</v>
      </c>
      <c r="E128" s="769">
        <f>D128*E124</f>
        <v>5.7719999999999994</v>
      </c>
      <c r="F128" s="729"/>
      <c r="G128" s="729">
        <f>F128*E128</f>
        <v>0</v>
      </c>
      <c r="H128" s="725"/>
      <c r="I128" s="729"/>
      <c r="J128" s="725"/>
      <c r="K128" s="725"/>
      <c r="L128" s="729">
        <f>K128+I128+G128</f>
        <v>0</v>
      </c>
    </row>
    <row r="129" spans="1:12" s="12" customFormat="1">
      <c r="A129" s="111"/>
      <c r="B129" s="152" t="s">
        <v>51</v>
      </c>
      <c r="C129" s="1010" t="s">
        <v>2</v>
      </c>
      <c r="D129" s="611">
        <v>1.9E-3</v>
      </c>
      <c r="E129" s="97">
        <f>D129*E124</f>
        <v>7.3111999999999996E-2</v>
      </c>
      <c r="F129" s="97"/>
      <c r="G129" s="123">
        <f>F129*E129</f>
        <v>0</v>
      </c>
      <c r="H129" s="97"/>
      <c r="I129" s="132"/>
      <c r="J129" s="131"/>
      <c r="K129" s="132"/>
      <c r="L129" s="123">
        <f>K129+I129+G129</f>
        <v>0</v>
      </c>
    </row>
    <row r="130" spans="1:12" s="281" customFormat="1" ht="30">
      <c r="A130" s="334">
        <v>26</v>
      </c>
      <c r="B130" s="302" t="s">
        <v>385</v>
      </c>
      <c r="C130" s="433" t="s">
        <v>153</v>
      </c>
      <c r="D130" s="301"/>
      <c r="E130" s="317">
        <v>50</v>
      </c>
      <c r="F130" s="305"/>
      <c r="G130" s="307"/>
      <c r="H130" s="317"/>
      <c r="I130" s="307"/>
      <c r="J130" s="306"/>
      <c r="K130" s="307"/>
      <c r="L130" s="456"/>
    </row>
    <row r="131" spans="1:12" s="377" customFormat="1">
      <c r="A131" s="474"/>
      <c r="B131" s="383" t="s">
        <v>42</v>
      </c>
      <c r="C131" s="384" t="s">
        <v>43</v>
      </c>
      <c r="D131" s="461">
        <v>3.3000000000000002E-2</v>
      </c>
      <c r="E131" s="462">
        <f>D131*E130</f>
        <v>1.6500000000000001</v>
      </c>
      <c r="F131" s="478"/>
      <c r="G131" s="463"/>
      <c r="H131" s="463"/>
      <c r="I131" s="463">
        <f>E131*H131</f>
        <v>0</v>
      </c>
      <c r="J131" s="463"/>
      <c r="K131" s="463"/>
      <c r="L131" s="463">
        <f t="shared" ref="L131:L139" si="6">K131+I131+G131</f>
        <v>0</v>
      </c>
    </row>
    <row r="132" spans="1:12" s="377" customFormat="1">
      <c r="A132" s="474"/>
      <c r="B132" s="479" t="s">
        <v>138</v>
      </c>
      <c r="C132" s="374" t="s">
        <v>44</v>
      </c>
      <c r="D132" s="480">
        <v>4.2000000000000002E-4</v>
      </c>
      <c r="E132" s="462">
        <f>D132*E130</f>
        <v>2.1000000000000001E-2</v>
      </c>
      <c r="F132" s="463"/>
      <c r="G132" s="463"/>
      <c r="H132" s="463"/>
      <c r="I132" s="463"/>
      <c r="J132" s="364"/>
      <c r="K132" s="463">
        <f t="shared" ref="K132:K137" si="7">J132*E132</f>
        <v>0</v>
      </c>
      <c r="L132" s="463">
        <f t="shared" si="6"/>
        <v>0</v>
      </c>
    </row>
    <row r="133" spans="1:12" s="377" customFormat="1">
      <c r="A133" s="474"/>
      <c r="B133" s="479" t="s">
        <v>199</v>
      </c>
      <c r="C133" s="374" t="s">
        <v>44</v>
      </c>
      <c r="D133" s="480">
        <v>2.5799999999999998E-3</v>
      </c>
      <c r="E133" s="462">
        <f>D133*E130</f>
        <v>0.129</v>
      </c>
      <c r="F133" s="463"/>
      <c r="G133" s="463"/>
      <c r="H133" s="463"/>
      <c r="I133" s="463"/>
      <c r="J133" s="786"/>
      <c r="K133" s="463">
        <f t="shared" si="7"/>
        <v>0</v>
      </c>
      <c r="L133" s="463">
        <f t="shared" si="6"/>
        <v>0</v>
      </c>
    </row>
    <row r="134" spans="1:12" s="377" customFormat="1">
      <c r="A134" s="474"/>
      <c r="B134" s="404" t="s">
        <v>200</v>
      </c>
      <c r="C134" s="374" t="s">
        <v>44</v>
      </c>
      <c r="D134" s="461">
        <v>1.12E-2</v>
      </c>
      <c r="E134" s="462">
        <f>D134*E130</f>
        <v>0.55999999999999994</v>
      </c>
      <c r="F134" s="463"/>
      <c r="G134" s="463"/>
      <c r="H134" s="463"/>
      <c r="I134" s="463"/>
      <c r="J134" s="729"/>
      <c r="K134" s="463">
        <f t="shared" si="7"/>
        <v>0</v>
      </c>
      <c r="L134" s="463">
        <f t="shared" si="6"/>
        <v>0</v>
      </c>
    </row>
    <row r="135" spans="1:12" s="377" customFormat="1">
      <c r="A135" s="474"/>
      <c r="B135" s="404" t="s">
        <v>201</v>
      </c>
      <c r="C135" s="374" t="s">
        <v>44</v>
      </c>
      <c r="D135" s="461">
        <v>2.4799999999999999E-2</v>
      </c>
      <c r="E135" s="481">
        <f>D135*E131</f>
        <v>4.0920000000000005E-2</v>
      </c>
      <c r="F135" s="463"/>
      <c r="G135" s="463"/>
      <c r="H135" s="463"/>
      <c r="I135" s="463"/>
      <c r="J135" s="729"/>
      <c r="K135" s="463">
        <f t="shared" si="7"/>
        <v>0</v>
      </c>
      <c r="L135" s="463">
        <f>K135+I135+G135</f>
        <v>0</v>
      </c>
    </row>
    <row r="136" spans="1:12" s="377" customFormat="1">
      <c r="A136" s="365"/>
      <c r="B136" s="376" t="s">
        <v>139</v>
      </c>
      <c r="C136" s="366" t="s">
        <v>44</v>
      </c>
      <c r="D136" s="366">
        <v>4.1399999999999996E-3</v>
      </c>
      <c r="E136" s="369">
        <f>D136*E130</f>
        <v>0.20699999999999999</v>
      </c>
      <c r="F136" s="366"/>
      <c r="G136" s="367"/>
      <c r="H136" s="368"/>
      <c r="I136" s="369"/>
      <c r="J136" s="766"/>
      <c r="K136" s="369">
        <f t="shared" si="7"/>
        <v>0</v>
      </c>
      <c r="L136" s="369">
        <f t="shared" si="6"/>
        <v>0</v>
      </c>
    </row>
    <row r="137" spans="1:12" s="377" customFormat="1">
      <c r="A137" s="475"/>
      <c r="B137" s="376" t="s">
        <v>141</v>
      </c>
      <c r="C137" s="366" t="s">
        <v>44</v>
      </c>
      <c r="D137" s="366">
        <v>5.2999999999999998E-4</v>
      </c>
      <c r="E137" s="369">
        <f>D137*E130</f>
        <v>2.6499999999999999E-2</v>
      </c>
      <c r="F137" s="366"/>
      <c r="G137" s="367"/>
      <c r="H137" s="368"/>
      <c r="I137" s="369"/>
      <c r="J137" s="366"/>
      <c r="K137" s="369">
        <f t="shared" si="7"/>
        <v>0</v>
      </c>
      <c r="L137" s="369">
        <f>K137+I137+G137</f>
        <v>0</v>
      </c>
    </row>
    <row r="138" spans="1:12" s="377" customFormat="1" ht="17.399999999999999">
      <c r="A138" s="474"/>
      <c r="B138" s="482" t="s">
        <v>46</v>
      </c>
      <c r="C138" s="462" t="s">
        <v>143</v>
      </c>
      <c r="D138" s="460">
        <v>0.26700000000000002</v>
      </c>
      <c r="E138" s="462">
        <f>D138*E130</f>
        <v>13.350000000000001</v>
      </c>
      <c r="F138" s="867"/>
      <c r="G138" s="463">
        <f>F138*E138</f>
        <v>0</v>
      </c>
      <c r="H138" s="463"/>
      <c r="I138" s="463"/>
      <c r="J138" s="463"/>
      <c r="K138" s="463"/>
      <c r="L138" s="463">
        <f t="shared" si="6"/>
        <v>0</v>
      </c>
    </row>
    <row r="139" spans="1:12" s="487" customFormat="1" ht="14.4">
      <c r="A139" s="476"/>
      <c r="B139" s="483" t="s">
        <v>140</v>
      </c>
      <c r="C139" s="484" t="s">
        <v>202</v>
      </c>
      <c r="D139" s="485">
        <v>0.03</v>
      </c>
      <c r="E139" s="486">
        <f>D139*E133</f>
        <v>3.8700000000000002E-3</v>
      </c>
      <c r="F139" s="477"/>
      <c r="G139" s="477">
        <f>F139*E139</f>
        <v>0</v>
      </c>
      <c r="H139" s="477"/>
      <c r="I139" s="477"/>
      <c r="J139" s="477"/>
      <c r="K139" s="477"/>
      <c r="L139" s="477">
        <f t="shared" si="6"/>
        <v>0</v>
      </c>
    </row>
    <row r="140" spans="1:12" s="281" customFormat="1" ht="45">
      <c r="A140" s="334">
        <v>27</v>
      </c>
      <c r="B140" s="302" t="s">
        <v>388</v>
      </c>
      <c r="C140" s="433" t="s">
        <v>153</v>
      </c>
      <c r="D140" s="301"/>
      <c r="E140" s="317">
        <v>80.8</v>
      </c>
      <c r="F140" s="305"/>
      <c r="G140" s="307"/>
      <c r="H140" s="317"/>
      <c r="I140" s="307"/>
      <c r="J140" s="306"/>
      <c r="K140" s="307"/>
      <c r="L140" s="456"/>
    </row>
    <row r="141" spans="1:12" s="377" customFormat="1">
      <c r="A141" s="474"/>
      <c r="B141" s="383" t="s">
        <v>42</v>
      </c>
      <c r="C141" s="384" t="s">
        <v>43</v>
      </c>
      <c r="D141" s="461">
        <v>3.3000000000000002E-2</v>
      </c>
      <c r="E141" s="462">
        <f>D141*E140</f>
        <v>2.6663999999999999</v>
      </c>
      <c r="F141" s="478"/>
      <c r="G141" s="463"/>
      <c r="H141" s="463"/>
      <c r="I141" s="463">
        <f>E141*H141</f>
        <v>0</v>
      </c>
      <c r="J141" s="463"/>
      <c r="K141" s="463"/>
      <c r="L141" s="463">
        <f t="shared" ref="L141:L144" si="8">K141+I141+G141</f>
        <v>0</v>
      </c>
    </row>
    <row r="142" spans="1:12" s="377" customFormat="1">
      <c r="A142" s="474"/>
      <c r="B142" s="479" t="s">
        <v>138</v>
      </c>
      <c r="C142" s="374" t="s">
        <v>44</v>
      </c>
      <c r="D142" s="480">
        <v>4.2000000000000002E-4</v>
      </c>
      <c r="E142" s="462">
        <f>D142*E140</f>
        <v>3.3936000000000001E-2</v>
      </c>
      <c r="F142" s="463"/>
      <c r="G142" s="463"/>
      <c r="H142" s="463"/>
      <c r="I142" s="463"/>
      <c r="J142" s="364"/>
      <c r="K142" s="463">
        <f t="shared" ref="K142:K147" si="9">J142*E142</f>
        <v>0</v>
      </c>
      <c r="L142" s="463">
        <f t="shared" si="8"/>
        <v>0</v>
      </c>
    </row>
    <row r="143" spans="1:12" s="377" customFormat="1">
      <c r="A143" s="474"/>
      <c r="B143" s="479" t="s">
        <v>199</v>
      </c>
      <c r="C143" s="374" t="s">
        <v>44</v>
      </c>
      <c r="D143" s="480">
        <v>2.5799999999999998E-3</v>
      </c>
      <c r="E143" s="462">
        <f>D143*E140</f>
        <v>0.20846399999999998</v>
      </c>
      <c r="F143" s="463"/>
      <c r="G143" s="463"/>
      <c r="H143" s="463"/>
      <c r="I143" s="463"/>
      <c r="J143" s="786"/>
      <c r="K143" s="463">
        <f t="shared" si="9"/>
        <v>0</v>
      </c>
      <c r="L143" s="463">
        <f t="shared" si="8"/>
        <v>0</v>
      </c>
    </row>
    <row r="144" spans="1:12" s="377" customFormat="1">
      <c r="A144" s="474"/>
      <c r="B144" s="404" t="s">
        <v>200</v>
      </c>
      <c r="C144" s="374" t="s">
        <v>44</v>
      </c>
      <c r="D144" s="461">
        <v>1.12E-2</v>
      </c>
      <c r="E144" s="462">
        <f>D144*E140</f>
        <v>0.90495999999999999</v>
      </c>
      <c r="F144" s="463"/>
      <c r="G144" s="463"/>
      <c r="H144" s="463"/>
      <c r="I144" s="463"/>
      <c r="J144" s="729"/>
      <c r="K144" s="463">
        <f t="shared" si="9"/>
        <v>0</v>
      </c>
      <c r="L144" s="463">
        <f t="shared" si="8"/>
        <v>0</v>
      </c>
    </row>
    <row r="145" spans="1:12" s="377" customFormat="1">
      <c r="A145" s="474"/>
      <c r="B145" s="404" t="s">
        <v>201</v>
      </c>
      <c r="C145" s="374" t="s">
        <v>44</v>
      </c>
      <c r="D145" s="461">
        <v>2.4799999999999999E-2</v>
      </c>
      <c r="E145" s="481">
        <f>D145*E141</f>
        <v>6.612672E-2</v>
      </c>
      <c r="F145" s="463"/>
      <c r="G145" s="463"/>
      <c r="H145" s="463"/>
      <c r="I145" s="463"/>
      <c r="J145" s="729"/>
      <c r="K145" s="463">
        <f t="shared" si="9"/>
        <v>0</v>
      </c>
      <c r="L145" s="463">
        <f>K145+I145+G145</f>
        <v>0</v>
      </c>
    </row>
    <row r="146" spans="1:12" s="377" customFormat="1">
      <c r="A146" s="365"/>
      <c r="B146" s="376" t="s">
        <v>139</v>
      </c>
      <c r="C146" s="366" t="s">
        <v>44</v>
      </c>
      <c r="D146" s="366">
        <v>4.1399999999999996E-3</v>
      </c>
      <c r="E146" s="369">
        <f>D146*E140</f>
        <v>0.33451199999999998</v>
      </c>
      <c r="F146" s="366"/>
      <c r="G146" s="367"/>
      <c r="H146" s="368"/>
      <c r="I146" s="369"/>
      <c r="J146" s="766"/>
      <c r="K146" s="369">
        <f t="shared" si="9"/>
        <v>0</v>
      </c>
      <c r="L146" s="369">
        <f t="shared" ref="L146" si="10">K146+I146+G146</f>
        <v>0</v>
      </c>
    </row>
    <row r="147" spans="1:12" s="377" customFormat="1">
      <c r="A147" s="475"/>
      <c r="B147" s="376" t="s">
        <v>141</v>
      </c>
      <c r="C147" s="366" t="s">
        <v>44</v>
      </c>
      <c r="D147" s="366">
        <v>5.2999999999999998E-4</v>
      </c>
      <c r="E147" s="369">
        <f>D147*E140</f>
        <v>4.2823999999999994E-2</v>
      </c>
      <c r="F147" s="366"/>
      <c r="G147" s="367"/>
      <c r="H147" s="368"/>
      <c r="I147" s="369"/>
      <c r="J147" s="366"/>
      <c r="K147" s="369">
        <f t="shared" si="9"/>
        <v>0</v>
      </c>
      <c r="L147" s="369">
        <f>K147+I147+G147</f>
        <v>0</v>
      </c>
    </row>
    <row r="148" spans="1:12" s="377" customFormat="1" ht="17.399999999999999">
      <c r="A148" s="474"/>
      <c r="B148" s="482" t="s">
        <v>46</v>
      </c>
      <c r="C148" s="462" t="s">
        <v>143</v>
      </c>
      <c r="D148" s="460">
        <v>0.26700000000000002</v>
      </c>
      <c r="E148" s="462">
        <f>D148*E140</f>
        <v>21.573599999999999</v>
      </c>
      <c r="F148" s="867"/>
      <c r="G148" s="463">
        <f>F148*E148</f>
        <v>0</v>
      </c>
      <c r="H148" s="463"/>
      <c r="I148" s="463"/>
      <c r="J148" s="463"/>
      <c r="K148" s="463"/>
      <c r="L148" s="463">
        <f t="shared" ref="L148:L149" si="11">K148+I148+G148</f>
        <v>0</v>
      </c>
    </row>
    <row r="149" spans="1:12" s="487" customFormat="1" ht="14.4">
      <c r="A149" s="476"/>
      <c r="B149" s="483" t="s">
        <v>140</v>
      </c>
      <c r="C149" s="484" t="s">
        <v>202</v>
      </c>
      <c r="D149" s="485">
        <v>0.03</v>
      </c>
      <c r="E149" s="486">
        <f>D149*E143</f>
        <v>6.2539199999999996E-3</v>
      </c>
      <c r="F149" s="477"/>
      <c r="G149" s="477">
        <f>F149*E149</f>
        <v>0</v>
      </c>
      <c r="H149" s="477"/>
      <c r="I149" s="477"/>
      <c r="J149" s="477"/>
      <c r="K149" s="477"/>
      <c r="L149" s="477">
        <f t="shared" si="11"/>
        <v>0</v>
      </c>
    </row>
    <row r="150" spans="1:12" s="279" customFormat="1">
      <c r="A150" s="733"/>
      <c r="B150" s="820" t="s">
        <v>393</v>
      </c>
      <c r="C150" s="727"/>
      <c r="D150" s="735"/>
      <c r="E150" s="736"/>
      <c r="F150" s="736"/>
      <c r="G150" s="729"/>
      <c r="H150" s="736"/>
      <c r="I150" s="737"/>
      <c r="J150" s="738"/>
      <c r="K150" s="739"/>
      <c r="L150" s="739"/>
    </row>
    <row r="151" spans="1:12" s="370" customFormat="1" ht="50.4" customHeight="1">
      <c r="A151" s="750">
        <v>28</v>
      </c>
      <c r="B151" s="722" t="s">
        <v>305</v>
      </c>
      <c r="C151" s="723" t="s">
        <v>263</v>
      </c>
      <c r="D151" s="821"/>
      <c r="E151" s="822">
        <f>7.78*1.64*0.9</f>
        <v>11.483280000000001</v>
      </c>
      <c r="F151" s="750"/>
      <c r="G151" s="750"/>
      <c r="H151" s="750"/>
      <c r="I151" s="750"/>
      <c r="J151" s="750"/>
      <c r="K151" s="750"/>
      <c r="L151" s="750"/>
    </row>
    <row r="152" spans="1:12" s="18" customFormat="1" ht="22.8" customHeight="1">
      <c r="A152" s="725"/>
      <c r="B152" s="749" t="s">
        <v>42</v>
      </c>
      <c r="C152" s="727" t="s">
        <v>43</v>
      </c>
      <c r="D152" s="765">
        <v>2.06</v>
      </c>
      <c r="E152" s="728">
        <f>D152*E151</f>
        <v>23.655556800000003</v>
      </c>
      <c r="F152" s="729"/>
      <c r="G152" s="729"/>
      <c r="H152" s="729"/>
      <c r="I152" s="729">
        <f>H152*E152</f>
        <v>0</v>
      </c>
      <c r="J152" s="729"/>
      <c r="K152" s="729"/>
      <c r="L152" s="729">
        <f>K152+I152+G152</f>
        <v>0</v>
      </c>
    </row>
    <row r="153" spans="1:12" s="359" customFormat="1" ht="52.2" customHeight="1">
      <c r="A153" s="819">
        <v>29</v>
      </c>
      <c r="B153" s="810" t="s">
        <v>306</v>
      </c>
      <c r="C153" s="723" t="s">
        <v>263</v>
      </c>
      <c r="D153" s="821"/>
      <c r="E153" s="822">
        <f>11.483/0.9*0.2</f>
        <v>2.5517777777777777</v>
      </c>
      <c r="F153" s="819"/>
      <c r="G153" s="819"/>
      <c r="H153" s="819"/>
      <c r="I153" s="724"/>
      <c r="J153" s="819"/>
      <c r="K153" s="819"/>
      <c r="L153" s="819"/>
    </row>
    <row r="154" spans="1:12" s="359" customFormat="1">
      <c r="A154" s="725"/>
      <c r="B154" s="726" t="s">
        <v>42</v>
      </c>
      <c r="C154" s="727" t="s">
        <v>43</v>
      </c>
      <c r="D154" s="823">
        <v>0.89</v>
      </c>
      <c r="E154" s="824">
        <f>D154*E153</f>
        <v>2.2710822222222222</v>
      </c>
      <c r="F154" s="825"/>
      <c r="G154" s="824"/>
      <c r="H154" s="826"/>
      <c r="I154" s="827">
        <f>H154*E154</f>
        <v>0</v>
      </c>
      <c r="J154" s="828"/>
      <c r="K154" s="827"/>
      <c r="L154" s="827">
        <f>K154+I154+G154</f>
        <v>0</v>
      </c>
    </row>
    <row r="155" spans="1:12" s="359" customFormat="1" ht="17.399999999999999">
      <c r="A155" s="725"/>
      <c r="B155" s="730" t="s">
        <v>50</v>
      </c>
      <c r="C155" s="829" t="s">
        <v>143</v>
      </c>
      <c r="D155" s="829">
        <v>1.1499999999999999</v>
      </c>
      <c r="E155" s="829">
        <f>D155*E153</f>
        <v>2.9345444444444442</v>
      </c>
      <c r="F155" s="1031"/>
      <c r="G155" s="824">
        <f>F155*E155</f>
        <v>0</v>
      </c>
      <c r="H155" s="830"/>
      <c r="I155" s="827"/>
      <c r="J155" s="828"/>
      <c r="K155" s="827"/>
      <c r="L155" s="827">
        <f>G155</f>
        <v>0</v>
      </c>
    </row>
    <row r="156" spans="1:12" s="359" customFormat="1">
      <c r="A156" s="725"/>
      <c r="B156" s="726" t="s">
        <v>51</v>
      </c>
      <c r="C156" s="727" t="s">
        <v>2</v>
      </c>
      <c r="D156" s="825">
        <v>0.02</v>
      </c>
      <c r="E156" s="825">
        <f>D156*E153</f>
        <v>5.1035555555555556E-2</v>
      </c>
      <c r="F156" s="824"/>
      <c r="G156" s="824">
        <f>E156*F156</f>
        <v>0</v>
      </c>
      <c r="H156" s="830"/>
      <c r="I156" s="827"/>
      <c r="J156" s="828"/>
      <c r="K156" s="827"/>
      <c r="L156" s="827">
        <f>K156+I156+G156</f>
        <v>0</v>
      </c>
    </row>
    <row r="157" spans="1:12" s="280" customFormat="1" ht="30">
      <c r="A157" s="751">
        <v>30</v>
      </c>
      <c r="B157" s="741" t="s">
        <v>307</v>
      </c>
      <c r="C157" s="721" t="s">
        <v>148</v>
      </c>
      <c r="D157" s="778"/>
      <c r="E157" s="779">
        <f>7.78*1.44*0.1</f>
        <v>1.1203200000000002</v>
      </c>
      <c r="F157" s="779"/>
      <c r="G157" s="761"/>
      <c r="H157" s="779"/>
      <c r="I157" s="761"/>
      <c r="J157" s="779"/>
      <c r="K157" s="761"/>
      <c r="L157" s="761"/>
    </row>
    <row r="158" spans="1:12" s="280" customFormat="1" ht="17.399999999999999">
      <c r="A158" s="733"/>
      <c r="B158" s="745" t="s">
        <v>52</v>
      </c>
      <c r="C158" s="725" t="s">
        <v>143</v>
      </c>
      <c r="D158" s="760">
        <v>1</v>
      </c>
      <c r="E158" s="755">
        <f>D158*E157</f>
        <v>1.1203200000000002</v>
      </c>
      <c r="F158" s="755"/>
      <c r="G158" s="739"/>
      <c r="H158" s="755"/>
      <c r="I158" s="739">
        <f>H158*E158</f>
        <v>0</v>
      </c>
      <c r="J158" s="755"/>
      <c r="K158" s="739"/>
      <c r="L158" s="739">
        <f>K158+I158+G158</f>
        <v>0</v>
      </c>
    </row>
    <row r="159" spans="1:12" s="281" customFormat="1">
      <c r="A159" s="753"/>
      <c r="B159" s="734" t="s">
        <v>49</v>
      </c>
      <c r="C159" s="725" t="s">
        <v>2</v>
      </c>
      <c r="D159" s="754">
        <v>0.28299999999999997</v>
      </c>
      <c r="E159" s="764">
        <f>D159*E157</f>
        <v>0.31705056000000004</v>
      </c>
      <c r="F159" s="764"/>
      <c r="G159" s="776"/>
      <c r="H159" s="764"/>
      <c r="I159" s="776"/>
      <c r="J159" s="764"/>
      <c r="K159" s="776">
        <f>J159*E159</f>
        <v>0</v>
      </c>
      <c r="L159" s="776">
        <f>K159+I159+G159</f>
        <v>0</v>
      </c>
    </row>
    <row r="160" spans="1:12" s="280" customFormat="1" ht="17.399999999999999">
      <c r="A160" s="733"/>
      <c r="B160" s="745" t="s">
        <v>152</v>
      </c>
      <c r="C160" s="725" t="s">
        <v>143</v>
      </c>
      <c r="D160" s="760">
        <v>1.02</v>
      </c>
      <c r="E160" s="755">
        <f>D160*E157</f>
        <v>1.1427264000000001</v>
      </c>
      <c r="F160" s="755"/>
      <c r="G160" s="729">
        <f>F160*E160</f>
        <v>0</v>
      </c>
      <c r="H160" s="755"/>
      <c r="I160" s="739"/>
      <c r="J160" s="755"/>
      <c r="K160" s="739"/>
      <c r="L160" s="739">
        <f>K160+I160+G160</f>
        <v>0</v>
      </c>
    </row>
    <row r="161" spans="1:14" s="281" customFormat="1">
      <c r="A161" s="753"/>
      <c r="B161" s="749" t="s">
        <v>51</v>
      </c>
      <c r="C161" s="725" t="s">
        <v>2</v>
      </c>
      <c r="D161" s="754">
        <v>0.62</v>
      </c>
      <c r="E161" s="764">
        <f>D161*E157</f>
        <v>0.69459840000000017</v>
      </c>
      <c r="F161" s="764"/>
      <c r="G161" s="777">
        <f>F161*E161</f>
        <v>0</v>
      </c>
      <c r="H161" s="764"/>
      <c r="I161" s="776"/>
      <c r="J161" s="764"/>
      <c r="K161" s="776"/>
      <c r="L161" s="776">
        <f>K161+I161+G161</f>
        <v>0</v>
      </c>
    </row>
    <row r="162" spans="1:14" s="282" customFormat="1" ht="30">
      <c r="A162" s="334">
        <v>31</v>
      </c>
      <c r="B162" s="302" t="s">
        <v>197</v>
      </c>
      <c r="C162" s="363" t="s">
        <v>148</v>
      </c>
      <c r="D162" s="301"/>
      <c r="E162" s="317">
        <v>5.3</v>
      </c>
      <c r="F162" s="317"/>
      <c r="G162" s="308"/>
      <c r="H162" s="317"/>
      <c r="I162" s="414"/>
      <c r="J162" s="415"/>
      <c r="K162" s="414"/>
      <c r="L162" s="308"/>
    </row>
    <row r="163" spans="1:14" s="377" customFormat="1" ht="17.399999999999999">
      <c r="A163" s="257"/>
      <c r="B163" s="383" t="s">
        <v>42</v>
      </c>
      <c r="C163" s="384" t="s">
        <v>143</v>
      </c>
      <c r="D163" s="461">
        <v>11</v>
      </c>
      <c r="E163" s="462">
        <f>D163*E162</f>
        <v>58.3</v>
      </c>
      <c r="F163" s="258"/>
      <c r="G163" s="463"/>
      <c r="H163" s="463"/>
      <c r="I163" s="463">
        <f>E163*H163</f>
        <v>0</v>
      </c>
      <c r="J163" s="463"/>
      <c r="K163" s="463"/>
      <c r="L163" s="463">
        <f t="shared" ref="L163:L173" si="12">K163+I163+G163</f>
        <v>0</v>
      </c>
    </row>
    <row r="164" spans="1:14" s="387" customFormat="1">
      <c r="A164" s="464"/>
      <c r="B164" s="465" t="s">
        <v>49</v>
      </c>
      <c r="C164" s="360" t="s">
        <v>2</v>
      </c>
      <c r="D164" s="466">
        <v>1.1000000000000001</v>
      </c>
      <c r="E164" s="467">
        <f>D164*E162</f>
        <v>5.83</v>
      </c>
      <c r="F164" s="466"/>
      <c r="G164" s="466"/>
      <c r="H164" s="466"/>
      <c r="I164" s="466"/>
      <c r="J164" s="466"/>
      <c r="K164" s="468">
        <f>J164*E164</f>
        <v>0</v>
      </c>
      <c r="L164" s="468">
        <f t="shared" si="12"/>
        <v>0</v>
      </c>
    </row>
    <row r="165" spans="1:14" s="377" customFormat="1" ht="17.399999999999999">
      <c r="A165" s="375"/>
      <c r="B165" s="383" t="s">
        <v>173</v>
      </c>
      <c r="C165" s="384" t="s">
        <v>143</v>
      </c>
      <c r="D165" s="386">
        <v>1.0149999999999999</v>
      </c>
      <c r="E165" s="388">
        <f>E162*D165</f>
        <v>5.3794999999999993</v>
      </c>
      <c r="F165" s="780"/>
      <c r="G165" s="367">
        <f t="shared" ref="G165:G173" si="13">F165*E165</f>
        <v>0</v>
      </c>
      <c r="H165" s="367"/>
      <c r="I165" s="369"/>
      <c r="J165" s="367"/>
      <c r="K165" s="369"/>
      <c r="L165" s="369">
        <f t="shared" si="12"/>
        <v>0</v>
      </c>
    </row>
    <row r="166" spans="1:14" s="1" customFormat="1">
      <c r="A166" s="782"/>
      <c r="B166" s="726" t="s">
        <v>60</v>
      </c>
      <c r="C166" s="727" t="s">
        <v>48</v>
      </c>
      <c r="D166" s="747"/>
      <c r="E166" s="784">
        <v>4.0000000000000001E-3</v>
      </c>
      <c r="F166" s="763"/>
      <c r="G166" s="780">
        <f>F166*E166</f>
        <v>0</v>
      </c>
      <c r="H166" s="780"/>
      <c r="I166" s="781"/>
      <c r="J166" s="780"/>
      <c r="K166" s="781"/>
      <c r="L166" s="781">
        <f t="shared" si="12"/>
        <v>0</v>
      </c>
      <c r="M166" s="359"/>
      <c r="N166" s="359"/>
    </row>
    <row r="167" spans="1:14" ht="13.5" customHeight="1">
      <c r="A167" s="677"/>
      <c r="B167" s="679" t="s">
        <v>264</v>
      </c>
      <c r="C167" s="637" t="s">
        <v>48</v>
      </c>
      <c r="D167" s="834"/>
      <c r="E167" s="835">
        <f>262/1000*1.01</f>
        <v>0.26462000000000002</v>
      </c>
      <c r="F167" s="836"/>
      <c r="G167" s="615">
        <f t="shared" ref="G167:G168" si="14">F167*E167</f>
        <v>0</v>
      </c>
      <c r="H167" s="837"/>
      <c r="I167" s="838"/>
      <c r="J167" s="839"/>
      <c r="K167" s="839"/>
      <c r="L167" s="615">
        <f t="shared" si="12"/>
        <v>0</v>
      </c>
    </row>
    <row r="168" spans="1:14" ht="13.5" customHeight="1">
      <c r="A168" s="677"/>
      <c r="B168" s="679" t="s">
        <v>279</v>
      </c>
      <c r="C168" s="637" t="s">
        <v>48</v>
      </c>
      <c r="D168" s="834"/>
      <c r="E168" s="835">
        <f>128/1000*1.01</f>
        <v>0.12928000000000001</v>
      </c>
      <c r="F168" s="836"/>
      <c r="G168" s="615">
        <f t="shared" si="14"/>
        <v>0</v>
      </c>
      <c r="H168" s="837"/>
      <c r="I168" s="838"/>
      <c r="J168" s="839"/>
      <c r="K168" s="839"/>
      <c r="L168" s="615">
        <f t="shared" si="12"/>
        <v>0</v>
      </c>
    </row>
    <row r="169" spans="1:14" s="377" customFormat="1" ht="17.399999999999999">
      <c r="A169" s="458"/>
      <c r="B169" s="465" t="s">
        <v>56</v>
      </c>
      <c r="C169" s="360" t="s">
        <v>142</v>
      </c>
      <c r="D169" s="360">
        <v>1.84</v>
      </c>
      <c r="E169" s="296">
        <f>D169*E162</f>
        <v>9.7520000000000007</v>
      </c>
      <c r="F169" s="469"/>
      <c r="G169" s="380">
        <f t="shared" si="13"/>
        <v>0</v>
      </c>
      <c r="H169" s="361"/>
      <c r="I169" s="381"/>
      <c r="J169" s="379"/>
      <c r="K169" s="379"/>
      <c r="L169" s="380">
        <f t="shared" si="12"/>
        <v>0</v>
      </c>
    </row>
    <row r="170" spans="1:14" s="472" customFormat="1" ht="14.4" customHeight="1">
      <c r="A170" s="459"/>
      <c r="B170" s="470" t="s">
        <v>54</v>
      </c>
      <c r="C170" s="384" t="s">
        <v>143</v>
      </c>
      <c r="D170" s="471">
        <v>4.2500000000000003E-2</v>
      </c>
      <c r="E170" s="471">
        <f>D170*E162</f>
        <v>0.22525000000000001</v>
      </c>
      <c r="F170" s="786"/>
      <c r="G170" s="367">
        <f t="shared" si="13"/>
        <v>0</v>
      </c>
      <c r="H170" s="367"/>
      <c r="I170" s="369"/>
      <c r="J170" s="367"/>
      <c r="K170" s="369"/>
      <c r="L170" s="369">
        <f t="shared" si="12"/>
        <v>0</v>
      </c>
    </row>
    <row r="171" spans="1:14" s="472" customFormat="1" ht="14.4" customHeight="1">
      <c r="A171" s="459"/>
      <c r="B171" s="470" t="s">
        <v>59</v>
      </c>
      <c r="C171" s="462" t="s">
        <v>58</v>
      </c>
      <c r="D171" s="462">
        <v>2.2000000000000002</v>
      </c>
      <c r="E171" s="462">
        <f>D171*E162</f>
        <v>11.66</v>
      </c>
      <c r="F171" s="462"/>
      <c r="G171" s="367">
        <f t="shared" si="13"/>
        <v>0</v>
      </c>
      <c r="H171" s="367"/>
      <c r="I171" s="369"/>
      <c r="J171" s="367"/>
      <c r="K171" s="369"/>
      <c r="L171" s="369">
        <f t="shared" si="12"/>
        <v>0</v>
      </c>
    </row>
    <row r="172" spans="1:14" s="472" customFormat="1" ht="14.4" customHeight="1">
      <c r="A172" s="459"/>
      <c r="B172" s="470" t="s">
        <v>57</v>
      </c>
      <c r="C172" s="462" t="s">
        <v>58</v>
      </c>
      <c r="D172" s="462">
        <v>1</v>
      </c>
      <c r="E172" s="462">
        <f>D172*E162</f>
        <v>5.3</v>
      </c>
      <c r="F172" s="462"/>
      <c r="G172" s="367">
        <f t="shared" si="13"/>
        <v>0</v>
      </c>
      <c r="H172" s="367"/>
      <c r="I172" s="369"/>
      <c r="J172" s="367"/>
      <c r="K172" s="369"/>
      <c r="L172" s="369">
        <f t="shared" si="12"/>
        <v>0</v>
      </c>
    </row>
    <row r="173" spans="1:14" s="472" customFormat="1" ht="14.4" customHeight="1">
      <c r="A173" s="459"/>
      <c r="B173" s="470" t="s">
        <v>51</v>
      </c>
      <c r="C173" s="360" t="s">
        <v>2</v>
      </c>
      <c r="D173" s="462">
        <v>0.46</v>
      </c>
      <c r="E173" s="462">
        <f>D173*E162</f>
        <v>2.4380000000000002</v>
      </c>
      <c r="F173" s="462"/>
      <c r="G173" s="367">
        <f t="shared" si="13"/>
        <v>0</v>
      </c>
      <c r="H173" s="367"/>
      <c r="I173" s="369"/>
      <c r="J173" s="367"/>
      <c r="K173" s="369"/>
      <c r="L173" s="369">
        <f t="shared" si="12"/>
        <v>0</v>
      </c>
    </row>
    <row r="174" spans="1:14" s="250" customFormat="1" ht="27.6">
      <c r="A174" s="850">
        <v>32</v>
      </c>
      <c r="B174" s="851" t="s">
        <v>308</v>
      </c>
      <c r="C174" s="635" t="s">
        <v>151</v>
      </c>
      <c r="D174" s="852"/>
      <c r="E174" s="853">
        <v>12.37</v>
      </c>
      <c r="F174" s="852"/>
      <c r="G174" s="854"/>
      <c r="H174" s="853"/>
      <c r="I174" s="853"/>
      <c r="J174" s="853"/>
      <c r="K174" s="853"/>
      <c r="L174" s="853"/>
    </row>
    <row r="175" spans="1:14" s="213" customFormat="1">
      <c r="A175" s="494"/>
      <c r="B175" s="679" t="s">
        <v>52</v>
      </c>
      <c r="C175" s="717" t="s">
        <v>43</v>
      </c>
      <c r="D175" s="855">
        <v>0.33600000000000002</v>
      </c>
      <c r="E175" s="856">
        <f>D175*E174</f>
        <v>4.15632</v>
      </c>
      <c r="F175" s="495"/>
      <c r="G175" s="495"/>
      <c r="H175" s="857"/>
      <c r="I175" s="1115">
        <f>H175*E175</f>
        <v>0</v>
      </c>
      <c r="J175" s="495"/>
      <c r="K175" s="495"/>
      <c r="L175" s="494">
        <f>K175+I175+G175</f>
        <v>0</v>
      </c>
    </row>
    <row r="176" spans="1:14" s="249" customFormat="1">
      <c r="A176" s="783"/>
      <c r="B176" s="858" t="s">
        <v>49</v>
      </c>
      <c r="C176" s="637" t="s">
        <v>2</v>
      </c>
      <c r="D176" s="859">
        <v>1.4999999999999999E-2</v>
      </c>
      <c r="E176" s="856">
        <f>D176*E174</f>
        <v>0.18554999999999999</v>
      </c>
      <c r="F176" s="832"/>
      <c r="G176" s="832"/>
      <c r="H176" s="832"/>
      <c r="I176" s="832"/>
      <c r="J176" s="832"/>
      <c r="K176" s="833">
        <f>J176*E176</f>
        <v>0</v>
      </c>
      <c r="L176" s="833">
        <f>K176+I176+G176</f>
        <v>0</v>
      </c>
    </row>
    <row r="177" spans="1:14" s="249" customFormat="1">
      <c r="A177" s="783"/>
      <c r="B177" s="858" t="s">
        <v>281</v>
      </c>
      <c r="C177" s="637" t="s">
        <v>58</v>
      </c>
      <c r="D177" s="832">
        <v>2.4</v>
      </c>
      <c r="E177" s="856">
        <f>D177*E174</f>
        <v>29.687999999999995</v>
      </c>
      <c r="F177" s="1028"/>
      <c r="G177" s="658">
        <f t="shared" ref="G177:G178" si="15">F177*E177</f>
        <v>0</v>
      </c>
      <c r="H177" s="615"/>
      <c r="I177" s="838"/>
      <c r="J177" s="839"/>
      <c r="K177" s="839"/>
      <c r="L177" s="658">
        <f t="shared" ref="L177:L178" si="16">K177+I177+G177</f>
        <v>0</v>
      </c>
    </row>
    <row r="178" spans="1:14" s="249" customFormat="1">
      <c r="A178" s="841"/>
      <c r="B178" s="716" t="s">
        <v>51</v>
      </c>
      <c r="C178" s="637" t="s">
        <v>2</v>
      </c>
      <c r="D178" s="842">
        <v>2.2800000000000001E-2</v>
      </c>
      <c r="E178" s="856">
        <f>D178*E174</f>
        <v>0.28203600000000001</v>
      </c>
      <c r="F178" s="841"/>
      <c r="G178" s="845">
        <f t="shared" si="15"/>
        <v>0</v>
      </c>
      <c r="H178" s="843"/>
      <c r="I178" s="843"/>
      <c r="J178" s="843"/>
      <c r="K178" s="843"/>
      <c r="L178" s="843">
        <f t="shared" si="16"/>
        <v>0</v>
      </c>
    </row>
    <row r="179" spans="1:14" s="282" customFormat="1" ht="27.6">
      <c r="A179" s="850">
        <v>33</v>
      </c>
      <c r="B179" s="851" t="s">
        <v>311</v>
      </c>
      <c r="C179" s="635" t="s">
        <v>151</v>
      </c>
      <c r="D179" s="913"/>
      <c r="E179" s="914">
        <v>1.6</v>
      </c>
      <c r="F179" s="914"/>
      <c r="G179" s="854"/>
      <c r="H179" s="914"/>
      <c r="I179" s="853"/>
      <c r="J179" s="914"/>
      <c r="K179" s="853"/>
      <c r="L179" s="853"/>
    </row>
    <row r="180" spans="1:14" s="280" customFormat="1">
      <c r="A180" s="677"/>
      <c r="B180" s="679" t="s">
        <v>52</v>
      </c>
      <c r="C180" s="637" t="s">
        <v>43</v>
      </c>
      <c r="D180" s="649">
        <v>0.312</v>
      </c>
      <c r="E180" s="834">
        <f>D180*E179</f>
        <v>0.49920000000000003</v>
      </c>
      <c r="F180" s="834"/>
      <c r="G180" s="658"/>
      <c r="H180" s="834"/>
      <c r="I180" s="658">
        <f>H180*E180</f>
        <v>0</v>
      </c>
      <c r="J180" s="834"/>
      <c r="K180" s="658"/>
      <c r="L180" s="658">
        <f>K180+I180+G180</f>
        <v>0</v>
      </c>
    </row>
    <row r="181" spans="1:14" s="281" customFormat="1">
      <c r="A181" s="841"/>
      <c r="B181" s="858" t="s">
        <v>49</v>
      </c>
      <c r="C181" s="637" t="s">
        <v>2</v>
      </c>
      <c r="D181" s="844">
        <v>1.38E-2</v>
      </c>
      <c r="E181" s="836">
        <f>D181*E179</f>
        <v>2.2080000000000002E-2</v>
      </c>
      <c r="F181" s="836"/>
      <c r="G181" s="843"/>
      <c r="H181" s="836"/>
      <c r="I181" s="843"/>
      <c r="J181" s="836"/>
      <c r="K181" s="843">
        <f>J181*E181</f>
        <v>0</v>
      </c>
      <c r="L181" s="843">
        <f>K181+I181+G181</f>
        <v>0</v>
      </c>
    </row>
    <row r="182" spans="1:14" s="281" customFormat="1" ht="30">
      <c r="A182" s="841"/>
      <c r="B182" s="679" t="s">
        <v>312</v>
      </c>
      <c r="C182" s="637" t="s">
        <v>142</v>
      </c>
      <c r="D182" s="912">
        <v>1.1200000000000001</v>
      </c>
      <c r="E182" s="836">
        <f>D182*E179</f>
        <v>1.7920000000000003</v>
      </c>
      <c r="F182" s="836"/>
      <c r="G182" s="845">
        <f>F182*E182</f>
        <v>0</v>
      </c>
      <c r="H182" s="836"/>
      <c r="I182" s="843"/>
      <c r="J182" s="836"/>
      <c r="K182" s="843"/>
      <c r="L182" s="843">
        <f>K182+I182+G182</f>
        <v>0</v>
      </c>
    </row>
    <row r="183" spans="1:14" s="281" customFormat="1">
      <c r="A183" s="841"/>
      <c r="B183" s="907" t="s">
        <v>51</v>
      </c>
      <c r="C183" s="637" t="s">
        <v>2</v>
      </c>
      <c r="D183" s="844">
        <v>1.9E-3</v>
      </c>
      <c r="E183" s="836">
        <f>D183*E179</f>
        <v>3.0400000000000002E-3</v>
      </c>
      <c r="F183" s="836"/>
      <c r="G183" s="845">
        <f>F183*E183</f>
        <v>0</v>
      </c>
      <c r="H183" s="836"/>
      <c r="I183" s="843"/>
      <c r="J183" s="836"/>
      <c r="K183" s="843"/>
      <c r="L183" s="843">
        <f>K183+I183+G183</f>
        <v>0</v>
      </c>
    </row>
    <row r="184" spans="1:14" s="1" customFormat="1" ht="30">
      <c r="A184" s="787">
        <v>34</v>
      </c>
      <c r="B184" s="788" t="s">
        <v>309</v>
      </c>
      <c r="C184" s="787" t="s">
        <v>41</v>
      </c>
      <c r="D184" s="789"/>
      <c r="E184" s="790">
        <v>0.21</v>
      </c>
      <c r="F184" s="791"/>
      <c r="G184" s="792"/>
      <c r="H184" s="791"/>
      <c r="I184" s="793"/>
      <c r="J184" s="791"/>
      <c r="K184" s="793"/>
      <c r="L184" s="793"/>
      <c r="M184" s="359"/>
      <c r="N184" s="359"/>
    </row>
    <row r="185" spans="1:14" s="1" customFormat="1" ht="17.399999999999999">
      <c r="A185" s="782"/>
      <c r="B185" s="726" t="s">
        <v>42</v>
      </c>
      <c r="C185" s="727" t="s">
        <v>47</v>
      </c>
      <c r="D185" s="727">
        <v>1</v>
      </c>
      <c r="E185" s="728">
        <f>E184*D185</f>
        <v>0.21</v>
      </c>
      <c r="F185" s="780"/>
      <c r="G185" s="780"/>
      <c r="H185" s="780"/>
      <c r="I185" s="781">
        <f>H185*E185</f>
        <v>0</v>
      </c>
      <c r="J185" s="780"/>
      <c r="K185" s="781"/>
      <c r="L185" s="781">
        <f>K185+I185+G185</f>
        <v>0</v>
      </c>
      <c r="M185" s="359"/>
      <c r="N185" s="359"/>
    </row>
    <row r="186" spans="1:14" s="1" customFormat="1">
      <c r="A186" s="782"/>
      <c r="B186" s="726" t="s">
        <v>49</v>
      </c>
      <c r="C186" s="727" t="s">
        <v>2</v>
      </c>
      <c r="D186" s="747">
        <v>0.77</v>
      </c>
      <c r="E186" s="748">
        <f>E184*D186</f>
        <v>0.16170000000000001</v>
      </c>
      <c r="F186" s="780"/>
      <c r="G186" s="780"/>
      <c r="H186" s="780"/>
      <c r="I186" s="781"/>
      <c r="J186" s="780"/>
      <c r="K186" s="781">
        <f>J186*E186</f>
        <v>0</v>
      </c>
      <c r="L186" s="781">
        <f>K186+I186+G186</f>
        <v>0</v>
      </c>
      <c r="M186" s="359"/>
      <c r="N186" s="359"/>
    </row>
    <row r="187" spans="1:14" s="1" customFormat="1" ht="17.399999999999999">
      <c r="A187" s="782"/>
      <c r="B187" s="383" t="s">
        <v>173</v>
      </c>
      <c r="C187" s="727" t="s">
        <v>47</v>
      </c>
      <c r="D187" s="774">
        <v>1.0149999999999999</v>
      </c>
      <c r="E187" s="748">
        <f>E184*D187</f>
        <v>0.21314999999999998</v>
      </c>
      <c r="F187" s="780"/>
      <c r="G187" s="780">
        <f>F187*E187</f>
        <v>0</v>
      </c>
      <c r="H187" s="780"/>
      <c r="I187" s="781"/>
      <c r="J187" s="780"/>
      <c r="K187" s="781"/>
      <c r="L187" s="781">
        <f>K187+I187+G187</f>
        <v>0</v>
      </c>
      <c r="M187" s="359"/>
      <c r="N187" s="359"/>
    </row>
    <row r="188" spans="1:14" s="1" customFormat="1">
      <c r="A188" s="782"/>
      <c r="B188" s="726" t="s">
        <v>60</v>
      </c>
      <c r="C188" s="727" t="s">
        <v>48</v>
      </c>
      <c r="D188" s="747"/>
      <c r="E188" s="784">
        <v>8.9999999999999993E-3</v>
      </c>
      <c r="F188" s="763"/>
      <c r="G188" s="780">
        <f>F188*E188</f>
        <v>0</v>
      </c>
      <c r="H188" s="780"/>
      <c r="I188" s="781"/>
      <c r="J188" s="780"/>
      <c r="K188" s="781"/>
      <c r="L188" s="781">
        <f t="shared" ref="L188:L191" si="17">K188+I188+G188</f>
        <v>0</v>
      </c>
      <c r="M188" s="359"/>
      <c r="N188" s="359"/>
    </row>
    <row r="189" spans="1:14" s="1" customFormat="1" ht="30">
      <c r="A189" s="733"/>
      <c r="B189" s="117" t="s">
        <v>174</v>
      </c>
      <c r="C189" s="725" t="s">
        <v>53</v>
      </c>
      <c r="D189" s="725">
        <v>7.5399999999999995E-2</v>
      </c>
      <c r="E189" s="729">
        <f>D189*E184</f>
        <v>1.5833999999999997E-2</v>
      </c>
      <c r="F189" s="729"/>
      <c r="G189" s="739">
        <f t="shared" ref="G189:G191" si="18">F189*E189</f>
        <v>0</v>
      </c>
      <c r="H189" s="729"/>
      <c r="I189" s="755"/>
      <c r="J189" s="733"/>
      <c r="K189" s="733"/>
      <c r="L189" s="739">
        <f t="shared" si="17"/>
        <v>0</v>
      </c>
      <c r="M189" s="359"/>
      <c r="N189" s="359"/>
    </row>
    <row r="190" spans="1:14" s="2" customFormat="1" ht="17.399999999999999">
      <c r="A190" s="753"/>
      <c r="B190" s="785" t="s">
        <v>54</v>
      </c>
      <c r="C190" s="725" t="s">
        <v>47</v>
      </c>
      <c r="D190" s="754">
        <v>8.0000000000000004E-4</v>
      </c>
      <c r="E190" s="754">
        <f>D190*E184</f>
        <v>1.6799999999999999E-4</v>
      </c>
      <c r="F190" s="786"/>
      <c r="G190" s="777">
        <f t="shared" si="18"/>
        <v>0</v>
      </c>
      <c r="H190" s="776"/>
      <c r="I190" s="776"/>
      <c r="J190" s="776"/>
      <c r="K190" s="776"/>
      <c r="L190" s="776">
        <f t="shared" si="17"/>
        <v>0</v>
      </c>
      <c r="M190" s="249"/>
      <c r="N190" s="249"/>
    </row>
    <row r="191" spans="1:14" s="1" customFormat="1">
      <c r="A191" s="782"/>
      <c r="B191" s="726" t="s">
        <v>51</v>
      </c>
      <c r="C191" s="727" t="s">
        <v>2</v>
      </c>
      <c r="D191" s="747">
        <v>7.0000000000000007E-2</v>
      </c>
      <c r="E191" s="748">
        <f>E184*D191</f>
        <v>1.4700000000000001E-2</v>
      </c>
      <c r="F191" s="780"/>
      <c r="G191" s="780">
        <f t="shared" si="18"/>
        <v>0</v>
      </c>
      <c r="H191" s="780"/>
      <c r="I191" s="781"/>
      <c r="J191" s="780"/>
      <c r="K191" s="781"/>
      <c r="L191" s="781">
        <f t="shared" si="17"/>
        <v>0</v>
      </c>
      <c r="M191" s="359"/>
      <c r="N191" s="359"/>
    </row>
    <row r="192" spans="1:14" s="282" customFormat="1" ht="30">
      <c r="A192" s="334">
        <v>35</v>
      </c>
      <c r="B192" s="302" t="s">
        <v>310</v>
      </c>
      <c r="C192" s="363" t="s">
        <v>148</v>
      </c>
      <c r="D192" s="301"/>
      <c r="E192" s="317">
        <v>0.21</v>
      </c>
      <c r="F192" s="317"/>
      <c r="G192" s="308"/>
      <c r="H192" s="317"/>
      <c r="I192" s="414"/>
      <c r="J192" s="415"/>
      <c r="K192" s="414"/>
      <c r="L192" s="308"/>
    </row>
    <row r="193" spans="1:14" s="377" customFormat="1" ht="17.399999999999999">
      <c r="A193" s="257"/>
      <c r="B193" s="383" t="s">
        <v>42</v>
      </c>
      <c r="C193" s="384" t="s">
        <v>143</v>
      </c>
      <c r="D193" s="461">
        <v>1</v>
      </c>
      <c r="E193" s="462">
        <f>D193*E192</f>
        <v>0.21</v>
      </c>
      <c r="F193" s="258"/>
      <c r="G193" s="463"/>
      <c r="H193" s="463"/>
      <c r="I193" s="463">
        <f>E193*H193</f>
        <v>0</v>
      </c>
      <c r="J193" s="463"/>
      <c r="K193" s="463"/>
      <c r="L193" s="463">
        <f t="shared" ref="L193:L199" si="19">K193+I193+G193</f>
        <v>0</v>
      </c>
    </row>
    <row r="194" spans="1:14" s="387" customFormat="1">
      <c r="A194" s="464"/>
      <c r="B194" s="465" t="s">
        <v>49</v>
      </c>
      <c r="C194" s="360" t="s">
        <v>2</v>
      </c>
      <c r="D194" s="466">
        <v>1.1000000000000001</v>
      </c>
      <c r="E194" s="467">
        <f>D194*E192</f>
        <v>0.23100000000000001</v>
      </c>
      <c r="F194" s="466"/>
      <c r="G194" s="466"/>
      <c r="H194" s="466"/>
      <c r="I194" s="466"/>
      <c r="J194" s="466"/>
      <c r="K194" s="468">
        <f>J194*E194</f>
        <v>0</v>
      </c>
      <c r="L194" s="468">
        <f t="shared" si="19"/>
        <v>0</v>
      </c>
    </row>
    <row r="195" spans="1:14" s="377" customFormat="1" ht="17.399999999999999">
      <c r="A195" s="375"/>
      <c r="B195" s="383" t="s">
        <v>173</v>
      </c>
      <c r="C195" s="384" t="s">
        <v>143</v>
      </c>
      <c r="D195" s="386">
        <v>1.0149999999999999</v>
      </c>
      <c r="E195" s="388">
        <f>E192*D195</f>
        <v>0.21314999999999998</v>
      </c>
      <c r="F195" s="780"/>
      <c r="G195" s="367">
        <f t="shared" ref="G195" si="20">F195*E195</f>
        <v>0</v>
      </c>
      <c r="H195" s="367"/>
      <c r="I195" s="369"/>
      <c r="J195" s="367"/>
      <c r="K195" s="369"/>
      <c r="L195" s="369">
        <f t="shared" si="19"/>
        <v>0</v>
      </c>
    </row>
    <row r="196" spans="1:14" s="1" customFormat="1">
      <c r="A196" s="782"/>
      <c r="B196" s="726" t="s">
        <v>60</v>
      </c>
      <c r="C196" s="727" t="s">
        <v>48</v>
      </c>
      <c r="D196" s="747"/>
      <c r="E196" s="784">
        <v>8.9999999999999993E-3</v>
      </c>
      <c r="F196" s="763"/>
      <c r="G196" s="780">
        <f>F196*E196</f>
        <v>0</v>
      </c>
      <c r="H196" s="780"/>
      <c r="I196" s="781"/>
      <c r="J196" s="780"/>
      <c r="K196" s="781"/>
      <c r="L196" s="781">
        <f t="shared" si="19"/>
        <v>0</v>
      </c>
      <c r="M196" s="359"/>
      <c r="N196" s="359"/>
    </row>
    <row r="197" spans="1:14" s="377" customFormat="1" ht="17.399999999999999">
      <c r="A197" s="458"/>
      <c r="B197" s="465" t="s">
        <v>56</v>
      </c>
      <c r="C197" s="360" t="s">
        <v>142</v>
      </c>
      <c r="D197" s="360">
        <v>1.84</v>
      </c>
      <c r="E197" s="296">
        <f>D197*E192</f>
        <v>0.38640000000000002</v>
      </c>
      <c r="F197" s="469"/>
      <c r="G197" s="380">
        <f t="shared" ref="G197:G199" si="21">F197*E197</f>
        <v>0</v>
      </c>
      <c r="H197" s="361"/>
      <c r="I197" s="381"/>
      <c r="J197" s="379"/>
      <c r="K197" s="379"/>
      <c r="L197" s="380">
        <f t="shared" si="19"/>
        <v>0</v>
      </c>
    </row>
    <row r="198" spans="1:14" s="472" customFormat="1" ht="14.4" customHeight="1">
      <c r="A198" s="459"/>
      <c r="B198" s="470" t="s">
        <v>54</v>
      </c>
      <c r="C198" s="384" t="s">
        <v>143</v>
      </c>
      <c r="D198" s="471">
        <v>4.2500000000000003E-2</v>
      </c>
      <c r="E198" s="471">
        <f>D198*E192</f>
        <v>8.9250000000000006E-3</v>
      </c>
      <c r="F198" s="786"/>
      <c r="G198" s="367">
        <f t="shared" si="21"/>
        <v>0</v>
      </c>
      <c r="H198" s="367"/>
      <c r="I198" s="369"/>
      <c r="J198" s="367"/>
      <c r="K198" s="369"/>
      <c r="L198" s="369">
        <f t="shared" si="19"/>
        <v>0</v>
      </c>
    </row>
    <row r="199" spans="1:14" s="472" customFormat="1" ht="14.4" customHeight="1">
      <c r="A199" s="459"/>
      <c r="B199" s="470" t="s">
        <v>51</v>
      </c>
      <c r="C199" s="360" t="s">
        <v>2</v>
      </c>
      <c r="D199" s="462">
        <v>0.46</v>
      </c>
      <c r="E199" s="462">
        <f>D199*E192</f>
        <v>9.6600000000000005E-2</v>
      </c>
      <c r="F199" s="462"/>
      <c r="G199" s="367">
        <f t="shared" si="21"/>
        <v>0</v>
      </c>
      <c r="H199" s="367"/>
      <c r="I199" s="369"/>
      <c r="J199" s="367"/>
      <c r="K199" s="369"/>
      <c r="L199" s="369">
        <f t="shared" si="19"/>
        <v>0</v>
      </c>
    </row>
    <row r="200" spans="1:14" s="199" customFormat="1" ht="45">
      <c r="A200" s="787">
        <v>36</v>
      </c>
      <c r="B200" s="810" t="s">
        <v>315</v>
      </c>
      <c r="C200" s="723" t="s">
        <v>62</v>
      </c>
      <c r="D200" s="811"/>
      <c r="E200" s="812">
        <v>100</v>
      </c>
      <c r="F200" s="813"/>
      <c r="G200" s="791"/>
      <c r="H200" s="813"/>
      <c r="I200" s="790"/>
      <c r="J200" s="813"/>
      <c r="K200" s="790"/>
      <c r="L200" s="790"/>
    </row>
    <row r="201" spans="1:14" s="192" customFormat="1">
      <c r="A201" s="725"/>
      <c r="B201" s="749" t="s">
        <v>42</v>
      </c>
      <c r="C201" s="727" t="s">
        <v>61</v>
      </c>
      <c r="D201" s="794">
        <v>0.42599999999999999</v>
      </c>
      <c r="E201" s="765">
        <f>D201*E200</f>
        <v>42.6</v>
      </c>
      <c r="F201" s="736"/>
      <c r="G201" s="729"/>
      <c r="H201" s="736"/>
      <c r="I201" s="729">
        <f>H201*E201</f>
        <v>0</v>
      </c>
      <c r="J201" s="736"/>
      <c r="K201" s="729"/>
      <c r="L201" s="729">
        <f>K201+I201+G201</f>
        <v>0</v>
      </c>
    </row>
    <row r="202" spans="1:14" s="192" customFormat="1">
      <c r="A202" s="795"/>
      <c r="B202" s="796" t="s">
        <v>267</v>
      </c>
      <c r="C202" s="797" t="s">
        <v>44</v>
      </c>
      <c r="D202" s="798">
        <v>0.215</v>
      </c>
      <c r="E202" s="799">
        <f>D202*E200</f>
        <v>21.5</v>
      </c>
      <c r="F202" s="800"/>
      <c r="G202" s="801"/>
      <c r="H202" s="800"/>
      <c r="I202" s="802"/>
      <c r="J202" s="803"/>
      <c r="K202" s="801">
        <f>E202*J202</f>
        <v>0</v>
      </c>
      <c r="L202" s="801">
        <f>K202+I202+G202</f>
        <v>0</v>
      </c>
    </row>
    <row r="203" spans="1:14" s="192" customFormat="1" ht="16.2">
      <c r="A203" s="725"/>
      <c r="B203" s="804" t="s">
        <v>63</v>
      </c>
      <c r="C203" s="805" t="s">
        <v>2</v>
      </c>
      <c r="D203" s="806">
        <v>2.9999999999999997E-4</v>
      </c>
      <c r="E203" s="807">
        <f>D203*E200</f>
        <v>0.03</v>
      </c>
      <c r="F203" s="800"/>
      <c r="G203" s="801"/>
      <c r="H203" s="800"/>
      <c r="I203" s="801"/>
      <c r="J203" s="800"/>
      <c r="K203" s="801">
        <f>E203*J203</f>
        <v>0</v>
      </c>
      <c r="L203" s="801">
        <f>K203+I203+G203</f>
        <v>0</v>
      </c>
    </row>
    <row r="204" spans="1:14" s="192" customFormat="1">
      <c r="A204" s="782"/>
      <c r="B204" s="749" t="s">
        <v>269</v>
      </c>
      <c r="C204" s="727" t="s">
        <v>62</v>
      </c>
      <c r="D204" s="774">
        <v>2.52E-2</v>
      </c>
      <c r="E204" s="808">
        <f>D204*E200</f>
        <v>2.52</v>
      </c>
      <c r="F204" s="809"/>
      <c r="G204" s="780">
        <f>F204*E204</f>
        <v>0</v>
      </c>
      <c r="H204" s="809"/>
      <c r="I204" s="781"/>
      <c r="J204" s="809"/>
      <c r="K204" s="781"/>
      <c r="L204" s="781">
        <f>K204+I204+G204</f>
        <v>0</v>
      </c>
    </row>
    <row r="205" spans="1:14" s="192" customFormat="1">
      <c r="A205" s="782"/>
      <c r="B205" s="749" t="s">
        <v>51</v>
      </c>
      <c r="C205" s="727" t="s">
        <v>2</v>
      </c>
      <c r="D205" s="774">
        <v>2.8999999999999998E-3</v>
      </c>
      <c r="E205" s="762">
        <f>E200*D205</f>
        <v>0.28999999999999998</v>
      </c>
      <c r="F205" s="809"/>
      <c r="G205" s="780">
        <f>F205*E205</f>
        <v>0</v>
      </c>
      <c r="H205" s="809"/>
      <c r="I205" s="781"/>
      <c r="J205" s="809"/>
      <c r="K205" s="781"/>
      <c r="L205" s="781">
        <f>K205+I205+G205</f>
        <v>0</v>
      </c>
    </row>
    <row r="206" spans="1:14" s="918" customFormat="1" ht="48" customHeight="1">
      <c r="A206" s="915">
        <v>37</v>
      </c>
      <c r="B206" s="919" t="s">
        <v>313</v>
      </c>
      <c r="C206" s="311" t="s">
        <v>148</v>
      </c>
      <c r="D206" s="916"/>
      <c r="E206" s="916">
        <v>2.4</v>
      </c>
      <c r="F206" s="916"/>
      <c r="G206" s="883"/>
      <c r="H206" s="883"/>
      <c r="I206" s="917"/>
      <c r="J206" s="883"/>
      <c r="K206" s="917"/>
      <c r="L206" s="917"/>
    </row>
    <row r="207" spans="1:14" customFormat="1">
      <c r="A207" s="866"/>
      <c r="B207" s="920" t="s">
        <v>42</v>
      </c>
      <c r="C207" s="921" t="s">
        <v>43</v>
      </c>
      <c r="D207" s="921">
        <v>34.799999999999997</v>
      </c>
      <c r="E207" s="921">
        <f>D207*E206</f>
        <v>83.52</v>
      </c>
      <c r="F207" s="659"/>
      <c r="G207" s="659"/>
      <c r="H207" s="659"/>
      <c r="I207" s="659">
        <f>H207*E207</f>
        <v>0</v>
      </c>
      <c r="J207" s="866"/>
      <c r="K207" s="659"/>
      <c r="L207" s="659">
        <f t="shared" ref="L207:L216" si="22">K207+I207+G207</f>
        <v>0</v>
      </c>
    </row>
    <row r="208" spans="1:14" customFormat="1">
      <c r="A208" s="866"/>
      <c r="B208" s="920" t="s">
        <v>49</v>
      </c>
      <c r="C208" s="921" t="s">
        <v>2</v>
      </c>
      <c r="D208" s="922">
        <v>4.46</v>
      </c>
      <c r="E208" s="923">
        <f>D208*E206</f>
        <v>10.703999999999999</v>
      </c>
      <c r="F208" s="659"/>
      <c r="G208" s="659"/>
      <c r="H208" s="659"/>
      <c r="I208" s="659"/>
      <c r="J208" s="866"/>
      <c r="K208" s="659">
        <f>E208*J208</f>
        <v>0</v>
      </c>
      <c r="L208" s="659">
        <f t="shared" si="22"/>
        <v>0</v>
      </c>
    </row>
    <row r="209" spans="1:15" s="377" customFormat="1" ht="17.399999999999999">
      <c r="A209" s="375"/>
      <c r="B209" s="383" t="s">
        <v>173</v>
      </c>
      <c r="C209" s="384" t="s">
        <v>143</v>
      </c>
      <c r="D209" s="386">
        <v>1.0149999999999999</v>
      </c>
      <c r="E209" s="388">
        <f>E206*D209</f>
        <v>2.4359999999999995</v>
      </c>
      <c r="F209" s="780"/>
      <c r="G209" s="367">
        <f t="shared" ref="G209" si="23">F209*E209</f>
        <v>0</v>
      </c>
      <c r="H209" s="367"/>
      <c r="I209" s="369"/>
      <c r="J209" s="367"/>
      <c r="K209" s="369"/>
      <c r="L209" s="369">
        <f t="shared" si="22"/>
        <v>0</v>
      </c>
    </row>
    <row r="210" spans="1:15" s="1" customFormat="1">
      <c r="A210" s="782"/>
      <c r="B210" s="679" t="s">
        <v>314</v>
      </c>
      <c r="C210" s="727" t="s">
        <v>48</v>
      </c>
      <c r="D210" s="747"/>
      <c r="E210" s="784">
        <v>0.10299999999999999</v>
      </c>
      <c r="F210" s="763"/>
      <c r="G210" s="780">
        <f>F210*E210</f>
        <v>0</v>
      </c>
      <c r="H210" s="780"/>
      <c r="I210" s="781"/>
      <c r="J210" s="780"/>
      <c r="K210" s="781"/>
      <c r="L210" s="781">
        <f t="shared" si="22"/>
        <v>0</v>
      </c>
      <c r="M210" s="359"/>
      <c r="N210" s="359"/>
    </row>
    <row r="211" spans="1:15" ht="13.5" customHeight="1">
      <c r="A211" s="677"/>
      <c r="B211" s="679" t="s">
        <v>264</v>
      </c>
      <c r="C211" s="637" t="s">
        <v>48</v>
      </c>
      <c r="D211" s="834"/>
      <c r="E211" s="835">
        <f>106/1000*1.01</f>
        <v>0.10706</v>
      </c>
      <c r="F211" s="836"/>
      <c r="G211" s="615">
        <f t="shared" ref="G211:G215" si="24">F211*E211</f>
        <v>0</v>
      </c>
      <c r="H211" s="837"/>
      <c r="I211" s="838"/>
      <c r="J211" s="839"/>
      <c r="K211" s="839"/>
      <c r="L211" s="615">
        <f t="shared" si="22"/>
        <v>0</v>
      </c>
    </row>
    <row r="212" spans="1:15" ht="13.5" customHeight="1">
      <c r="A212" s="677"/>
      <c r="B212" s="679" t="s">
        <v>279</v>
      </c>
      <c r="C212" s="637" t="s">
        <v>48</v>
      </c>
      <c r="D212" s="834"/>
      <c r="E212" s="835">
        <f>10/1000*1.01</f>
        <v>1.01E-2</v>
      </c>
      <c r="F212" s="836"/>
      <c r="G212" s="615">
        <f t="shared" si="24"/>
        <v>0</v>
      </c>
      <c r="H212" s="837"/>
      <c r="I212" s="838"/>
      <c r="J212" s="839"/>
      <c r="K212" s="839"/>
      <c r="L212" s="615">
        <f t="shared" si="22"/>
        <v>0</v>
      </c>
    </row>
    <row r="213" spans="1:15" s="925" customFormat="1">
      <c r="A213" s="866"/>
      <c r="B213" s="920" t="s">
        <v>316</v>
      </c>
      <c r="C213" s="921" t="s">
        <v>58</v>
      </c>
      <c r="D213" s="922">
        <v>3.2</v>
      </c>
      <c r="E213" s="923">
        <f>D213*E206</f>
        <v>7.68</v>
      </c>
      <c r="F213" s="659"/>
      <c r="G213" s="658">
        <f t="shared" si="24"/>
        <v>0</v>
      </c>
      <c r="H213" s="615"/>
      <c r="I213" s="834"/>
      <c r="J213" s="924"/>
      <c r="K213" s="658"/>
      <c r="L213" s="658">
        <f t="shared" si="22"/>
        <v>0</v>
      </c>
    </row>
    <row r="214" spans="1:15" s="18" customFormat="1" ht="30">
      <c r="A214" s="926"/>
      <c r="B214" s="920" t="s">
        <v>317</v>
      </c>
      <c r="C214" s="677" t="s">
        <v>155</v>
      </c>
      <c r="D214" s="637">
        <v>3.28</v>
      </c>
      <c r="E214" s="637">
        <f>D214*E206</f>
        <v>7.871999999999999</v>
      </c>
      <c r="F214" s="615"/>
      <c r="G214" s="658">
        <f t="shared" si="24"/>
        <v>0</v>
      </c>
      <c r="H214" s="927"/>
      <c r="I214" s="924"/>
      <c r="J214" s="924"/>
      <c r="K214" s="924"/>
      <c r="L214" s="658">
        <f t="shared" si="22"/>
        <v>0</v>
      </c>
    </row>
    <row r="215" spans="1:15" s="18" customFormat="1" ht="17.399999999999999">
      <c r="A215" s="926"/>
      <c r="B215" s="716" t="s">
        <v>54</v>
      </c>
      <c r="C215" s="637" t="s">
        <v>156</v>
      </c>
      <c r="D215" s="637">
        <v>0.09</v>
      </c>
      <c r="E215" s="637">
        <f>D215*E206</f>
        <v>0.216</v>
      </c>
      <c r="F215" s="786"/>
      <c r="G215" s="658">
        <f t="shared" si="24"/>
        <v>0</v>
      </c>
      <c r="H215" s="927"/>
      <c r="I215" s="924"/>
      <c r="J215" s="924"/>
      <c r="K215" s="924"/>
      <c r="L215" s="658">
        <f t="shared" si="22"/>
        <v>0</v>
      </c>
    </row>
    <row r="216" spans="1:15" customFormat="1">
      <c r="A216" s="866"/>
      <c r="B216" s="920" t="s">
        <v>51</v>
      </c>
      <c r="C216" s="921" t="s">
        <v>2</v>
      </c>
      <c r="D216" s="922">
        <v>2.0499999999999998</v>
      </c>
      <c r="E216" s="923">
        <f>D216*E206</f>
        <v>4.919999999999999</v>
      </c>
      <c r="F216" s="659"/>
      <c r="G216" s="659">
        <f>E216*F216</f>
        <v>0</v>
      </c>
      <c r="H216" s="659"/>
      <c r="I216" s="659"/>
      <c r="J216" s="866"/>
      <c r="K216" s="866"/>
      <c r="L216" s="659">
        <f t="shared" si="22"/>
        <v>0</v>
      </c>
    </row>
    <row r="217" spans="1:15" s="370" customFormat="1" ht="30">
      <c r="A217" s="635">
        <v>38</v>
      </c>
      <c r="B217" s="712" t="s">
        <v>394</v>
      </c>
      <c r="C217" s="713" t="s">
        <v>153</v>
      </c>
      <c r="D217" s="713"/>
      <c r="E217" s="714">
        <v>63.1</v>
      </c>
      <c r="F217" s="635"/>
      <c r="G217" s="715"/>
      <c r="H217" s="635"/>
      <c r="I217" s="715"/>
      <c r="J217" s="635"/>
      <c r="K217" s="715"/>
      <c r="L217" s="715"/>
    </row>
    <row r="218" spans="1:15" s="377" customFormat="1" ht="17.399999999999999">
      <c r="A218" s="637"/>
      <c r="B218" s="716" t="s">
        <v>42</v>
      </c>
      <c r="C218" s="1015" t="s">
        <v>142</v>
      </c>
      <c r="D218" s="717">
        <v>1</v>
      </c>
      <c r="E218" s="718">
        <f>D218*E217</f>
        <v>63.1</v>
      </c>
      <c r="F218" s="637"/>
      <c r="G218" s="615"/>
      <c r="H218" s="637"/>
      <c r="I218" s="615">
        <f>H218*E218</f>
        <v>0</v>
      </c>
      <c r="J218" s="637"/>
      <c r="K218" s="615"/>
      <c r="L218" s="615">
        <f>K218+I218+G218</f>
        <v>0</v>
      </c>
    </row>
    <row r="219" spans="1:15" s="377" customFormat="1">
      <c r="A219" s="637"/>
      <c r="B219" s="716" t="s">
        <v>45</v>
      </c>
      <c r="C219" s="717" t="s">
        <v>2</v>
      </c>
      <c r="D219" s="719">
        <v>2.1000000000000001E-2</v>
      </c>
      <c r="E219" s="1120">
        <f>D219*E217</f>
        <v>1.3251000000000002</v>
      </c>
      <c r="F219" s="637"/>
      <c r="G219" s="615"/>
      <c r="H219" s="637"/>
      <c r="I219" s="615"/>
      <c r="J219" s="637"/>
      <c r="K219" s="615">
        <f>E219*J219</f>
        <v>0</v>
      </c>
      <c r="L219" s="615">
        <f>K219+I219+G219</f>
        <v>0</v>
      </c>
    </row>
    <row r="220" spans="1:15" s="377" customFormat="1" ht="17.399999999999999">
      <c r="A220" s="360"/>
      <c r="B220" s="404" t="s">
        <v>332</v>
      </c>
      <c r="C220" s="360" t="s">
        <v>156</v>
      </c>
      <c r="D220" s="405">
        <v>1.89E-2</v>
      </c>
      <c r="E220" s="361">
        <f>D220*E217</f>
        <v>1.19259</v>
      </c>
      <c r="F220" s="361"/>
      <c r="G220" s="361">
        <f>F220*E220</f>
        <v>0</v>
      </c>
      <c r="H220" s="361"/>
      <c r="I220" s="361"/>
      <c r="J220" s="361"/>
      <c r="K220" s="361"/>
      <c r="L220" s="361">
        <f>K220+I220+G220</f>
        <v>0</v>
      </c>
    </row>
    <row r="221" spans="1:15" s="1100" customFormat="1" ht="30">
      <c r="A221" s="1095">
        <v>27</v>
      </c>
      <c r="B221" s="1110" t="s">
        <v>425</v>
      </c>
      <c r="C221" s="1096" t="s">
        <v>426</v>
      </c>
      <c r="D221" s="1097"/>
      <c r="E221" s="714">
        <v>63.1</v>
      </c>
      <c r="F221" s="1095"/>
      <c r="G221" s="1099"/>
      <c r="H221" s="1095"/>
      <c r="I221" s="1099"/>
      <c r="J221" s="1095"/>
      <c r="K221" s="1095"/>
      <c r="L221" s="1099"/>
    </row>
    <row r="222" spans="1:15" s="1104" customFormat="1" ht="17.399999999999999">
      <c r="A222" s="1101"/>
      <c r="B222" s="726" t="s">
        <v>42</v>
      </c>
      <c r="C222" s="725" t="s">
        <v>142</v>
      </c>
      <c r="D222" s="1102">
        <v>1</v>
      </c>
      <c r="E222" s="1121">
        <f>D222*E221</f>
        <v>63.1</v>
      </c>
      <c r="F222" s="1101"/>
      <c r="G222" s="1103"/>
      <c r="H222" s="1101"/>
      <c r="I222" s="1103">
        <f>H222*E222</f>
        <v>0</v>
      </c>
      <c r="J222" s="1101"/>
      <c r="K222" s="1103"/>
      <c r="L222" s="1103">
        <f t="shared" ref="L222:L227" si="25">K222+I222+G222</f>
        <v>0</v>
      </c>
      <c r="O222" s="1104">
        <v>342.5</v>
      </c>
    </row>
    <row r="223" spans="1:15" s="372" customFormat="1">
      <c r="A223" s="758"/>
      <c r="B223" s="726" t="s">
        <v>49</v>
      </c>
      <c r="C223" s="727" t="s">
        <v>2</v>
      </c>
      <c r="D223" s="762">
        <v>0.08</v>
      </c>
      <c r="E223" s="748">
        <f>D223*E221</f>
        <v>5.048</v>
      </c>
      <c r="F223" s="729"/>
      <c r="G223" s="729"/>
      <c r="H223" s="729"/>
      <c r="I223" s="729"/>
      <c r="J223" s="729"/>
      <c r="K223" s="729">
        <f>E223*J223</f>
        <v>0</v>
      </c>
      <c r="L223" s="729">
        <f t="shared" si="25"/>
        <v>0</v>
      </c>
    </row>
    <row r="224" spans="1:15" s="1104" customFormat="1" ht="12.6">
      <c r="A224" s="1101"/>
      <c r="B224" s="1105" t="s">
        <v>427</v>
      </c>
      <c r="C224" s="1101" t="s">
        <v>287</v>
      </c>
      <c r="D224" s="1106">
        <v>1.5E-3</v>
      </c>
      <c r="E224" s="1122">
        <f>D224*E221</f>
        <v>9.4649999999999998E-2</v>
      </c>
      <c r="F224" s="1103"/>
      <c r="G224" s="1103">
        <f>F224*E224</f>
        <v>0</v>
      </c>
      <c r="H224" s="1103"/>
      <c r="I224" s="1103"/>
      <c r="J224" s="1103"/>
      <c r="K224" s="1103"/>
      <c r="L224" s="1103">
        <f t="shared" si="25"/>
        <v>0</v>
      </c>
      <c r="O224" s="1104">
        <v>38.313559322033903</v>
      </c>
    </row>
    <row r="225" spans="1:15" s="1104" customFormat="1" ht="14.4">
      <c r="A225" s="1101"/>
      <c r="B225" s="1105" t="s">
        <v>135</v>
      </c>
      <c r="C225" s="1101" t="s">
        <v>428</v>
      </c>
      <c r="D225" s="1106">
        <v>1.5E-3</v>
      </c>
      <c r="E225" s="1123">
        <f>D225*E221</f>
        <v>9.4649999999999998E-2</v>
      </c>
      <c r="F225" s="1103"/>
      <c r="G225" s="1103">
        <f>F225*E225</f>
        <v>0</v>
      </c>
      <c r="H225" s="1103"/>
      <c r="I225" s="1103"/>
      <c r="J225" s="1103"/>
      <c r="K225" s="1103"/>
      <c r="L225" s="1103">
        <f t="shared" si="25"/>
        <v>0</v>
      </c>
      <c r="O225" s="1104">
        <v>7.8090000000000011</v>
      </c>
    </row>
    <row r="226" spans="1:15" s="1104" customFormat="1" ht="12.6">
      <c r="A226" s="1101"/>
      <c r="B226" s="1105" t="s">
        <v>429</v>
      </c>
      <c r="C226" s="1107" t="s">
        <v>58</v>
      </c>
      <c r="D226" s="1106">
        <v>0.106</v>
      </c>
      <c r="E226" s="1123">
        <f>D226*E221</f>
        <v>6.6886000000000001</v>
      </c>
      <c r="F226" s="1103"/>
      <c r="G226" s="1103">
        <f>F226*E226</f>
        <v>0</v>
      </c>
      <c r="H226" s="1103"/>
      <c r="I226" s="1103"/>
      <c r="J226" s="1103"/>
      <c r="K226" s="1103"/>
      <c r="L226" s="1103">
        <f t="shared" si="25"/>
        <v>0</v>
      </c>
      <c r="O226" s="1104">
        <v>60.992400000000004</v>
      </c>
    </row>
    <row r="227" spans="1:15" s="370" customFormat="1">
      <c r="A227" s="725"/>
      <c r="B227" s="730" t="s">
        <v>51</v>
      </c>
      <c r="C227" s="727" t="s">
        <v>2</v>
      </c>
      <c r="D227" s="960">
        <v>4.1999999999999997E-3</v>
      </c>
      <c r="E227" s="1124">
        <f>D227*E221</f>
        <v>0.26501999999999998</v>
      </c>
      <c r="F227" s="729"/>
      <c r="G227" s="729">
        <f>F227*E227</f>
        <v>0</v>
      </c>
      <c r="H227" s="729"/>
      <c r="I227" s="729"/>
      <c r="J227" s="729"/>
      <c r="K227" s="729"/>
      <c r="L227" s="729">
        <f t="shared" si="25"/>
        <v>0</v>
      </c>
      <c r="N227" s="1108"/>
    </row>
    <row r="228" spans="1:15" s="71" customFormat="1" ht="17.399999999999999">
      <c r="A228" s="740">
        <v>39</v>
      </c>
      <c r="B228" s="741" t="s">
        <v>435</v>
      </c>
      <c r="C228" s="721" t="s">
        <v>151</v>
      </c>
      <c r="D228" s="816"/>
      <c r="E228" s="714">
        <v>63.1</v>
      </c>
      <c r="F228" s="817"/>
      <c r="G228" s="818"/>
      <c r="H228" s="396"/>
      <c r="I228" s="397"/>
      <c r="J228" s="396"/>
      <c r="K228" s="397"/>
      <c r="L228" s="432"/>
    </row>
    <row r="229" spans="1:15" s="75" customFormat="1" ht="17.399999999999999">
      <c r="A229" s="1081"/>
      <c r="B229" s="117" t="s">
        <v>42</v>
      </c>
      <c r="C229" s="1081" t="s">
        <v>155</v>
      </c>
      <c r="D229" s="119">
        <v>1</v>
      </c>
      <c r="E229" s="120">
        <f>D229*E228</f>
        <v>63.1</v>
      </c>
      <c r="F229" s="121"/>
      <c r="G229" s="70"/>
      <c r="H229" s="121"/>
      <c r="I229" s="70">
        <f>H229*E229</f>
        <v>0</v>
      </c>
      <c r="J229" s="121"/>
      <c r="K229" s="70"/>
      <c r="L229" s="70">
        <f t="shared" ref="L229:L233" si="26">K229+I229+G229</f>
        <v>0</v>
      </c>
      <c r="M229" s="277"/>
      <c r="N229" s="287"/>
      <c r="O229" s="287"/>
    </row>
    <row r="230" spans="1:15" s="75" customFormat="1">
      <c r="A230" s="1081"/>
      <c r="B230" s="117" t="s">
        <v>49</v>
      </c>
      <c r="C230" s="118" t="s">
        <v>2</v>
      </c>
      <c r="D230" s="130">
        <v>7.0000000000000001E-3</v>
      </c>
      <c r="E230" s="1117">
        <f>D230*E228</f>
        <v>0.44170000000000004</v>
      </c>
      <c r="F230" s="121"/>
      <c r="G230" s="70"/>
      <c r="H230" s="121"/>
      <c r="I230" s="70"/>
      <c r="J230" s="121"/>
      <c r="K230" s="70">
        <f>E230*J230</f>
        <v>0</v>
      </c>
      <c r="L230" s="70">
        <f t="shared" si="26"/>
        <v>0</v>
      </c>
      <c r="M230" s="277"/>
      <c r="N230" s="287"/>
      <c r="O230" s="287"/>
    </row>
    <row r="231" spans="1:15" s="72" customFormat="1">
      <c r="A231" s="1024"/>
      <c r="B231" s="749" t="s">
        <v>377</v>
      </c>
      <c r="C231" s="727" t="s">
        <v>58</v>
      </c>
      <c r="D231" s="1025">
        <v>0.59</v>
      </c>
      <c r="E231" s="1125">
        <f>D231*E228</f>
        <v>37.228999999999999</v>
      </c>
      <c r="F231" s="1026"/>
      <c r="G231" s="123">
        <f t="shared" ref="G231:G232" si="27">F231*E231</f>
        <v>0</v>
      </c>
      <c r="H231" s="159"/>
      <c r="I231" s="156"/>
      <c r="J231" s="157"/>
      <c r="K231" s="156"/>
      <c r="L231" s="123">
        <f t="shared" si="26"/>
        <v>0</v>
      </c>
      <c r="M231" s="277"/>
      <c r="N231" s="284"/>
      <c r="O231" s="284"/>
    </row>
    <row r="232" spans="1:15" s="72" customFormat="1">
      <c r="A232" s="1024"/>
      <c r="B232" s="749" t="s">
        <v>378</v>
      </c>
      <c r="C232" s="727" t="s">
        <v>58</v>
      </c>
      <c r="D232" s="1025">
        <v>0.15</v>
      </c>
      <c r="E232" s="1125">
        <f>D232*E228</f>
        <v>9.4649999999999999</v>
      </c>
      <c r="F232" s="1026"/>
      <c r="G232" s="123">
        <f t="shared" si="27"/>
        <v>0</v>
      </c>
      <c r="H232" s="159"/>
      <c r="I232" s="156"/>
      <c r="J232" s="157"/>
      <c r="K232" s="156"/>
      <c r="L232" s="123">
        <f t="shared" si="26"/>
        <v>0</v>
      </c>
      <c r="M232" s="277"/>
      <c r="N232" s="284"/>
      <c r="O232" s="284"/>
    </row>
    <row r="233" spans="1:15" s="72" customFormat="1">
      <c r="A233" s="154"/>
      <c r="B233" s="117" t="s">
        <v>51</v>
      </c>
      <c r="C233" s="118" t="s">
        <v>2</v>
      </c>
      <c r="D233" s="158">
        <v>3.3999999999999998E-3</v>
      </c>
      <c r="E233" s="159">
        <f>D233*E228</f>
        <v>0.21453999999999998</v>
      </c>
      <c r="F233" s="155"/>
      <c r="G233" s="123">
        <f>F233*E233</f>
        <v>0</v>
      </c>
      <c r="H233" s="159"/>
      <c r="I233" s="156"/>
      <c r="J233" s="157"/>
      <c r="K233" s="156"/>
      <c r="L233" s="123">
        <f t="shared" si="26"/>
        <v>0</v>
      </c>
      <c r="M233" s="277"/>
      <c r="N233" s="284"/>
      <c r="O233" s="284"/>
    </row>
    <row r="234" spans="1:15" s="192" customFormat="1">
      <c r="A234" s="111"/>
      <c r="B234" s="419" t="s">
        <v>387</v>
      </c>
      <c r="C234" s="116"/>
      <c r="D234" s="125"/>
      <c r="E234" s="127"/>
      <c r="F234" s="121"/>
      <c r="G234" s="132"/>
      <c r="H234" s="127"/>
      <c r="I234" s="132"/>
      <c r="J234" s="131"/>
      <c r="K234" s="132"/>
      <c r="L234" s="123"/>
    </row>
    <row r="235" spans="1:15" s="370" customFormat="1" ht="50.4" customHeight="1">
      <c r="A235" s="750">
        <v>40</v>
      </c>
      <c r="B235" s="722" t="s">
        <v>300</v>
      </c>
      <c r="C235" s="723" t="s">
        <v>263</v>
      </c>
      <c r="D235" s="821"/>
      <c r="E235" s="822">
        <f>8.34+1.6</f>
        <v>9.94</v>
      </c>
      <c r="F235" s="750"/>
      <c r="G235" s="750"/>
      <c r="H235" s="750"/>
      <c r="I235" s="750"/>
      <c r="J235" s="750"/>
      <c r="K235" s="750"/>
      <c r="L235" s="750"/>
    </row>
    <row r="236" spans="1:15" s="18" customFormat="1" ht="22.8" customHeight="1">
      <c r="A236" s="725"/>
      <c r="B236" s="749" t="s">
        <v>42</v>
      </c>
      <c r="C236" s="727" t="s">
        <v>43</v>
      </c>
      <c r="D236" s="765">
        <v>2.06</v>
      </c>
      <c r="E236" s="728">
        <f>D236*E235</f>
        <v>20.476399999999998</v>
      </c>
      <c r="F236" s="729"/>
      <c r="G236" s="729"/>
      <c r="H236" s="729"/>
      <c r="I236" s="729">
        <f>H236*E236</f>
        <v>0</v>
      </c>
      <c r="J236" s="729"/>
      <c r="K236" s="729"/>
      <c r="L236" s="729">
        <f>K236+I236+G236</f>
        <v>0</v>
      </c>
    </row>
    <row r="237" spans="1:15" s="359" customFormat="1" ht="52.2" customHeight="1">
      <c r="A237" s="819">
        <v>41</v>
      </c>
      <c r="B237" s="810" t="s">
        <v>301</v>
      </c>
      <c r="C237" s="723" t="s">
        <v>263</v>
      </c>
      <c r="D237" s="821"/>
      <c r="E237" s="822">
        <v>1.51</v>
      </c>
      <c r="F237" s="819"/>
      <c r="G237" s="819"/>
      <c r="H237" s="819"/>
      <c r="I237" s="724"/>
      <c r="J237" s="819"/>
      <c r="K237" s="819"/>
      <c r="L237" s="819"/>
    </row>
    <row r="238" spans="1:15" s="359" customFormat="1">
      <c r="A238" s="725"/>
      <c r="B238" s="726" t="s">
        <v>42</v>
      </c>
      <c r="C238" s="727" t="s">
        <v>43</v>
      </c>
      <c r="D238" s="823">
        <v>0.89</v>
      </c>
      <c r="E238" s="824">
        <f>D238*E237</f>
        <v>1.3439000000000001</v>
      </c>
      <c r="F238" s="825"/>
      <c r="G238" s="824"/>
      <c r="H238" s="826"/>
      <c r="I238" s="827">
        <f>H238*E238</f>
        <v>0</v>
      </c>
      <c r="J238" s="828"/>
      <c r="K238" s="827"/>
      <c r="L238" s="827">
        <f>K238+I238+G238</f>
        <v>0</v>
      </c>
    </row>
    <row r="239" spans="1:15" s="359" customFormat="1" ht="17.399999999999999">
      <c r="A239" s="725"/>
      <c r="B239" s="730" t="s">
        <v>50</v>
      </c>
      <c r="C239" s="829" t="s">
        <v>143</v>
      </c>
      <c r="D239" s="829">
        <v>1.1499999999999999</v>
      </c>
      <c r="E239" s="829">
        <f>D239*E237</f>
        <v>1.7364999999999999</v>
      </c>
      <c r="F239" s="1031"/>
      <c r="G239" s="824">
        <f>F239*E239</f>
        <v>0</v>
      </c>
      <c r="H239" s="830"/>
      <c r="I239" s="827"/>
      <c r="J239" s="828"/>
      <c r="K239" s="827"/>
      <c r="L239" s="827">
        <f>G239</f>
        <v>0</v>
      </c>
    </row>
    <row r="240" spans="1:15" s="359" customFormat="1">
      <c r="A240" s="725"/>
      <c r="B240" s="726" t="s">
        <v>51</v>
      </c>
      <c r="C240" s="727" t="s">
        <v>2</v>
      </c>
      <c r="D240" s="825">
        <v>0.02</v>
      </c>
      <c r="E240" s="825">
        <f>D240*E237</f>
        <v>3.0200000000000001E-2</v>
      </c>
      <c r="F240" s="824"/>
      <c r="G240" s="824">
        <f>E240*F240</f>
        <v>0</v>
      </c>
      <c r="H240" s="830"/>
      <c r="I240" s="827"/>
      <c r="J240" s="828"/>
      <c r="K240" s="827"/>
      <c r="L240" s="827">
        <f>K240+I240+G240</f>
        <v>0</v>
      </c>
    </row>
    <row r="241" spans="1:14" s="280" customFormat="1" ht="30">
      <c r="A241" s="751">
        <v>42</v>
      </c>
      <c r="B241" s="741" t="s">
        <v>386</v>
      </c>
      <c r="C241" s="721" t="s">
        <v>148</v>
      </c>
      <c r="D241" s="778"/>
      <c r="E241" s="779">
        <v>0.63</v>
      </c>
      <c r="F241" s="779"/>
      <c r="G241" s="761"/>
      <c r="H241" s="779"/>
      <c r="I241" s="761"/>
      <c r="J241" s="779"/>
      <c r="K241" s="761"/>
      <c r="L241" s="761"/>
    </row>
    <row r="242" spans="1:14" s="280" customFormat="1" ht="17.399999999999999">
      <c r="A242" s="733"/>
      <c r="B242" s="745" t="s">
        <v>52</v>
      </c>
      <c r="C242" s="725" t="s">
        <v>143</v>
      </c>
      <c r="D242" s="760">
        <v>1</v>
      </c>
      <c r="E242" s="755">
        <f>D242*E241</f>
        <v>0.63</v>
      </c>
      <c r="F242" s="755"/>
      <c r="G242" s="739"/>
      <c r="H242" s="755"/>
      <c r="I242" s="739">
        <f>H242*E242</f>
        <v>0</v>
      </c>
      <c r="J242" s="755"/>
      <c r="K242" s="739"/>
      <c r="L242" s="739">
        <f>K242+I242+G242</f>
        <v>0</v>
      </c>
    </row>
    <row r="243" spans="1:14" s="281" customFormat="1">
      <c r="A243" s="753"/>
      <c r="B243" s="734" t="s">
        <v>49</v>
      </c>
      <c r="C243" s="725" t="s">
        <v>2</v>
      </c>
      <c r="D243" s="754">
        <v>0.28299999999999997</v>
      </c>
      <c r="E243" s="764">
        <f>D243*E241</f>
        <v>0.17828999999999998</v>
      </c>
      <c r="F243" s="764"/>
      <c r="G243" s="776"/>
      <c r="H243" s="764"/>
      <c r="I243" s="776"/>
      <c r="J243" s="764"/>
      <c r="K243" s="776">
        <f>J243*E243</f>
        <v>0</v>
      </c>
      <c r="L243" s="776">
        <f>K243+I243+G243</f>
        <v>0</v>
      </c>
    </row>
    <row r="244" spans="1:14" s="280" customFormat="1" ht="17.399999999999999">
      <c r="A244" s="733"/>
      <c r="B244" s="745" t="s">
        <v>152</v>
      </c>
      <c r="C244" s="725" t="s">
        <v>143</v>
      </c>
      <c r="D244" s="760">
        <v>1.02</v>
      </c>
      <c r="E244" s="755">
        <f>D244*E241</f>
        <v>0.64260000000000006</v>
      </c>
      <c r="F244" s="755"/>
      <c r="G244" s="729">
        <f>F244*E244</f>
        <v>0</v>
      </c>
      <c r="H244" s="755"/>
      <c r="I244" s="739"/>
      <c r="J244" s="755"/>
      <c r="K244" s="739"/>
      <c r="L244" s="739">
        <f>K244+I244+G244</f>
        <v>0</v>
      </c>
    </row>
    <row r="245" spans="1:14" s="281" customFormat="1">
      <c r="A245" s="753"/>
      <c r="B245" s="749" t="s">
        <v>51</v>
      </c>
      <c r="C245" s="725" t="s">
        <v>2</v>
      </c>
      <c r="D245" s="754">
        <v>0.62</v>
      </c>
      <c r="E245" s="764">
        <f>D245*E241</f>
        <v>0.3906</v>
      </c>
      <c r="F245" s="764"/>
      <c r="G245" s="777">
        <f>F245*E245</f>
        <v>0</v>
      </c>
      <c r="H245" s="764"/>
      <c r="I245" s="776"/>
      <c r="J245" s="764"/>
      <c r="K245" s="776"/>
      <c r="L245" s="776">
        <f>K245+I245+G245</f>
        <v>0</v>
      </c>
    </row>
    <row r="246" spans="1:14" s="250" customFormat="1" ht="28.5" customHeight="1">
      <c r="A246" s="751">
        <v>43</v>
      </c>
      <c r="B246" s="846" t="s">
        <v>278</v>
      </c>
      <c r="C246" s="721" t="s">
        <v>148</v>
      </c>
      <c r="D246" s="847"/>
      <c r="E246" s="848">
        <v>2.7</v>
      </c>
      <c r="F246" s="847"/>
      <c r="G246" s="849"/>
      <c r="H246" s="848"/>
      <c r="I246" s="848"/>
      <c r="J246" s="848"/>
      <c r="K246" s="848"/>
      <c r="L246" s="848"/>
    </row>
    <row r="247" spans="1:14" s="213" customFormat="1" ht="17.399999999999999">
      <c r="A247" s="494"/>
      <c r="B247" s="745" t="s">
        <v>52</v>
      </c>
      <c r="C247" s="725" t="s">
        <v>143</v>
      </c>
      <c r="D247" s="831">
        <v>1</v>
      </c>
      <c r="E247" s="760">
        <f>D247*E246</f>
        <v>2.7</v>
      </c>
      <c r="F247" s="495"/>
      <c r="G247" s="495"/>
      <c r="H247" s="489"/>
      <c r="I247" s="1115">
        <f>H247*E247</f>
        <v>0</v>
      </c>
      <c r="J247" s="495"/>
      <c r="K247" s="495"/>
      <c r="L247" s="489">
        <f>K247+I247+G247</f>
        <v>0</v>
      </c>
    </row>
    <row r="248" spans="1:14" s="249" customFormat="1">
      <c r="A248" s="783"/>
      <c r="B248" s="734" t="s">
        <v>49</v>
      </c>
      <c r="C248" s="725" t="s">
        <v>2</v>
      </c>
      <c r="D248" s="832">
        <v>0.92</v>
      </c>
      <c r="E248" s="760">
        <f>D248*E246</f>
        <v>2.4840000000000004</v>
      </c>
      <c r="F248" s="832"/>
      <c r="G248" s="832"/>
      <c r="H248" s="832"/>
      <c r="I248" s="832"/>
      <c r="J248" s="832"/>
      <c r="K248" s="833">
        <f>J248*E248</f>
        <v>0</v>
      </c>
      <c r="L248" s="833">
        <f>K248+I248+G248</f>
        <v>0</v>
      </c>
    </row>
    <row r="249" spans="1:14" s="213" customFormat="1" ht="17.399999999999999">
      <c r="A249" s="494"/>
      <c r="B249" s="383" t="s">
        <v>173</v>
      </c>
      <c r="C249" s="725" t="s">
        <v>143</v>
      </c>
      <c r="D249" s="496">
        <v>1.0149999999999999</v>
      </c>
      <c r="E249" s="1027">
        <f>D249*E246</f>
        <v>2.7404999999999999</v>
      </c>
      <c r="F249" s="780"/>
      <c r="G249" s="615">
        <f>F249*E249</f>
        <v>0</v>
      </c>
      <c r="H249" s="495"/>
      <c r="I249" s="495"/>
      <c r="J249" s="495"/>
      <c r="K249" s="495"/>
      <c r="L249" s="1115">
        <f>K249+I249+G249</f>
        <v>0</v>
      </c>
    </row>
    <row r="250" spans="1:14" ht="13.5" customHeight="1">
      <c r="A250" s="677"/>
      <c r="B250" s="679" t="s">
        <v>264</v>
      </c>
      <c r="C250" s="637" t="s">
        <v>48</v>
      </c>
      <c r="D250" s="834"/>
      <c r="E250" s="835">
        <f>201/1000*1.01</f>
        <v>0.20301000000000002</v>
      </c>
      <c r="F250" s="836"/>
      <c r="G250" s="615">
        <f t="shared" ref="G250" si="28">F250*E250</f>
        <v>0</v>
      </c>
      <c r="H250" s="837"/>
      <c r="I250" s="838"/>
      <c r="J250" s="839"/>
      <c r="K250" s="839"/>
      <c r="L250" s="615">
        <f t="shared" ref="L250:L254" si="29">K250+I250+G250</f>
        <v>0</v>
      </c>
    </row>
    <row r="251" spans="1:14" s="1" customFormat="1">
      <c r="A251" s="782"/>
      <c r="B251" s="726" t="s">
        <v>60</v>
      </c>
      <c r="C251" s="727" t="s">
        <v>48</v>
      </c>
      <c r="D251" s="747"/>
      <c r="E251" s="784">
        <f>5/1000*1.01</f>
        <v>5.0499999999999998E-3</v>
      </c>
      <c r="F251" s="763"/>
      <c r="G251" s="780">
        <f>F251*E251</f>
        <v>0</v>
      </c>
      <c r="H251" s="780"/>
      <c r="I251" s="781"/>
      <c r="J251" s="780"/>
      <c r="K251" s="781"/>
      <c r="L251" s="781">
        <f t="shared" si="29"/>
        <v>0</v>
      </c>
      <c r="M251" s="359"/>
      <c r="N251" s="359"/>
    </row>
    <row r="252" spans="1:14" s="249" customFormat="1" ht="17.399999999999999">
      <c r="A252" s="677"/>
      <c r="B252" s="716" t="s">
        <v>133</v>
      </c>
      <c r="C252" s="637" t="s">
        <v>142</v>
      </c>
      <c r="D252" s="637">
        <v>0.70299999999999996</v>
      </c>
      <c r="E252" s="615">
        <f>D252*E246</f>
        <v>1.8981000000000001</v>
      </c>
      <c r="F252" s="615"/>
      <c r="G252" s="658">
        <f t="shared" ref="G252:G254" si="30">F252*E252</f>
        <v>0</v>
      </c>
      <c r="H252" s="615"/>
      <c r="I252" s="838"/>
      <c r="J252" s="839"/>
      <c r="K252" s="839"/>
      <c r="L252" s="658">
        <f t="shared" si="29"/>
        <v>0</v>
      </c>
    </row>
    <row r="253" spans="1:14" s="249" customFormat="1" ht="17.399999999999999">
      <c r="A253" s="677"/>
      <c r="B253" s="716" t="s">
        <v>54</v>
      </c>
      <c r="C253" s="717" t="s">
        <v>143</v>
      </c>
      <c r="D253" s="637">
        <v>1.14E-2</v>
      </c>
      <c r="E253" s="615">
        <f>D253*E246</f>
        <v>3.0780000000000002E-2</v>
      </c>
      <c r="F253" s="786"/>
      <c r="G253" s="658">
        <f t="shared" si="30"/>
        <v>0</v>
      </c>
      <c r="H253" s="615"/>
      <c r="I253" s="838"/>
      <c r="J253" s="839"/>
      <c r="K253" s="839"/>
      <c r="L253" s="658">
        <f t="shared" si="29"/>
        <v>0</v>
      </c>
    </row>
    <row r="254" spans="1:14" s="249" customFormat="1">
      <c r="A254" s="841"/>
      <c r="B254" s="716" t="s">
        <v>51</v>
      </c>
      <c r="C254" s="637" t="s">
        <v>2</v>
      </c>
      <c r="D254" s="842">
        <v>0.6</v>
      </c>
      <c r="E254" s="843">
        <f>D254*E246</f>
        <v>1.62</v>
      </c>
      <c r="F254" s="844"/>
      <c r="G254" s="845">
        <f t="shared" si="30"/>
        <v>0</v>
      </c>
      <c r="H254" s="843"/>
      <c r="I254" s="843"/>
      <c r="J254" s="843"/>
      <c r="K254" s="843"/>
      <c r="L254" s="843">
        <f t="shared" si="29"/>
        <v>0</v>
      </c>
    </row>
    <row r="255" spans="1:14" s="250" customFormat="1" ht="27.6">
      <c r="A255" s="850">
        <v>44</v>
      </c>
      <c r="B255" s="851" t="s">
        <v>280</v>
      </c>
      <c r="C255" s="635" t="s">
        <v>151</v>
      </c>
      <c r="D255" s="852"/>
      <c r="E255" s="853">
        <v>14.64</v>
      </c>
      <c r="F255" s="852"/>
      <c r="G255" s="854"/>
      <c r="H255" s="853"/>
      <c r="I255" s="853"/>
      <c r="J255" s="853"/>
      <c r="K255" s="853"/>
      <c r="L255" s="853"/>
    </row>
    <row r="256" spans="1:14" s="213" customFormat="1">
      <c r="A256" s="494"/>
      <c r="B256" s="679" t="s">
        <v>52</v>
      </c>
      <c r="C256" s="717" t="s">
        <v>43</v>
      </c>
      <c r="D256" s="855">
        <v>0.33600000000000002</v>
      </c>
      <c r="E256" s="856">
        <f>D256*E255</f>
        <v>4.9190400000000007</v>
      </c>
      <c r="F256" s="495"/>
      <c r="G256" s="495"/>
      <c r="H256" s="857"/>
      <c r="I256" s="1115">
        <f>H256*E256</f>
        <v>0</v>
      </c>
      <c r="J256" s="495"/>
      <c r="K256" s="495"/>
      <c r="L256" s="494">
        <f>K256+I256+G256</f>
        <v>0</v>
      </c>
    </row>
    <row r="257" spans="1:12" s="249" customFormat="1">
      <c r="A257" s="783"/>
      <c r="B257" s="858" t="s">
        <v>49</v>
      </c>
      <c r="C257" s="637" t="s">
        <v>2</v>
      </c>
      <c r="D257" s="859">
        <v>1.4999999999999999E-2</v>
      </c>
      <c r="E257" s="856">
        <f>D257*E255</f>
        <v>0.21959999999999999</v>
      </c>
      <c r="F257" s="832"/>
      <c r="G257" s="832"/>
      <c r="H257" s="832"/>
      <c r="I257" s="832"/>
      <c r="J257" s="832"/>
      <c r="K257" s="833">
        <f>J257*E257</f>
        <v>0</v>
      </c>
      <c r="L257" s="833">
        <f>K257+I257+G257</f>
        <v>0</v>
      </c>
    </row>
    <row r="258" spans="1:12" s="249" customFormat="1">
      <c r="A258" s="783"/>
      <c r="B258" s="858" t="s">
        <v>281</v>
      </c>
      <c r="C258" s="637" t="s">
        <v>58</v>
      </c>
      <c r="D258" s="832">
        <v>2.4</v>
      </c>
      <c r="E258" s="856">
        <f>D258*E255</f>
        <v>35.136000000000003</v>
      </c>
      <c r="F258" s="1028"/>
      <c r="G258" s="658">
        <f t="shared" ref="G258:G259" si="31">F258*E258</f>
        <v>0</v>
      </c>
      <c r="H258" s="615"/>
      <c r="I258" s="838"/>
      <c r="J258" s="839"/>
      <c r="K258" s="839"/>
      <c r="L258" s="658">
        <f t="shared" ref="L258:L259" si="32">K258+I258+G258</f>
        <v>0</v>
      </c>
    </row>
    <row r="259" spans="1:12" s="249" customFormat="1">
      <c r="A259" s="841"/>
      <c r="B259" s="716" t="s">
        <v>51</v>
      </c>
      <c r="C259" s="637" t="s">
        <v>2</v>
      </c>
      <c r="D259" s="842">
        <v>2.2800000000000001E-2</v>
      </c>
      <c r="E259" s="856">
        <f>D259*E255</f>
        <v>0.33379200000000003</v>
      </c>
      <c r="F259" s="841"/>
      <c r="G259" s="845">
        <f t="shared" si="31"/>
        <v>0</v>
      </c>
      <c r="H259" s="843"/>
      <c r="I259" s="843"/>
      <c r="J259" s="843"/>
      <c r="K259" s="843"/>
      <c r="L259" s="843">
        <f t="shared" si="32"/>
        <v>0</v>
      </c>
    </row>
    <row r="260" spans="1:12" s="69" customFormat="1" ht="27.6">
      <c r="A260" s="392">
        <v>45</v>
      </c>
      <c r="B260" s="411" t="s">
        <v>349</v>
      </c>
      <c r="C260" s="311" t="s">
        <v>48</v>
      </c>
      <c r="D260" s="315"/>
      <c r="E260" s="316">
        <v>0.17100000000000001</v>
      </c>
      <c r="F260" s="317"/>
      <c r="G260" s="412"/>
      <c r="H260" s="413"/>
      <c r="I260" s="412"/>
      <c r="J260" s="413"/>
      <c r="K260" s="412"/>
      <c r="L260" s="318"/>
    </row>
    <row r="261" spans="1:12" s="71" customFormat="1">
      <c r="A261" s="165"/>
      <c r="B261" s="117" t="s">
        <v>72</v>
      </c>
      <c r="C261" s="1009" t="s">
        <v>43</v>
      </c>
      <c r="D261" s="611">
        <v>26.5</v>
      </c>
      <c r="E261" s="97">
        <f>D261*E260</f>
        <v>4.5315000000000003</v>
      </c>
      <c r="F261" s="137"/>
      <c r="G261" s="141"/>
      <c r="H261" s="137"/>
      <c r="I261" s="141">
        <f>H261*E261</f>
        <v>0</v>
      </c>
      <c r="J261" s="137"/>
      <c r="K261" s="141"/>
      <c r="L261" s="141">
        <f>K261+I261+G261</f>
        <v>0</v>
      </c>
    </row>
    <row r="262" spans="1:12" s="71" customFormat="1">
      <c r="A262" s="145"/>
      <c r="B262" s="117" t="s">
        <v>49</v>
      </c>
      <c r="C262" s="1009" t="s">
        <v>2</v>
      </c>
      <c r="D262" s="611">
        <v>0.6</v>
      </c>
      <c r="E262" s="97">
        <f>D262*E260</f>
        <v>0.10260000000000001</v>
      </c>
      <c r="F262" s="139"/>
      <c r="G262" s="140"/>
      <c r="H262" s="175"/>
      <c r="I262" s="138"/>
      <c r="J262" s="175"/>
      <c r="K262" s="138">
        <f>E262*J262</f>
        <v>0</v>
      </c>
      <c r="L262" s="138">
        <f>K262+I262+G262</f>
        <v>0</v>
      </c>
    </row>
    <row r="263" spans="1:12" s="281" customFormat="1">
      <c r="A263" s="111"/>
      <c r="B263" s="52" t="s">
        <v>302</v>
      </c>
      <c r="C263" s="111" t="s">
        <v>48</v>
      </c>
      <c r="D263" s="113"/>
      <c r="E263" s="97">
        <v>7.349E-2</v>
      </c>
      <c r="F263" s="137"/>
      <c r="G263" s="138">
        <f>E263*F263</f>
        <v>0</v>
      </c>
      <c r="H263" s="175"/>
      <c r="I263" s="138"/>
      <c r="J263" s="175"/>
      <c r="K263" s="138"/>
      <c r="L263" s="138">
        <f>K263+I263+G263</f>
        <v>0</v>
      </c>
    </row>
    <row r="264" spans="1:12" s="281" customFormat="1">
      <c r="A264" s="111"/>
      <c r="B264" s="52" t="s">
        <v>303</v>
      </c>
      <c r="C264" s="111" t="s">
        <v>48</v>
      </c>
      <c r="D264" s="113"/>
      <c r="E264" s="97">
        <v>9.0999999999999998E-2</v>
      </c>
      <c r="F264" s="137"/>
      <c r="G264" s="138">
        <f>E264*F264</f>
        <v>0</v>
      </c>
      <c r="H264" s="175"/>
      <c r="I264" s="138"/>
      <c r="J264" s="175"/>
      <c r="K264" s="138"/>
      <c r="L264" s="138">
        <f>K264+I264+G264</f>
        <v>0</v>
      </c>
    </row>
    <row r="265" spans="1:12" s="886" customFormat="1" ht="17.399999999999999">
      <c r="A265" s="890"/>
      <c r="B265" s="888" t="s">
        <v>304</v>
      </c>
      <c r="C265" s="890" t="s">
        <v>287</v>
      </c>
      <c r="D265" s="944"/>
      <c r="E265" s="940">
        <v>6.2199999999999998E-3</v>
      </c>
      <c r="F265" s="941"/>
      <c r="G265" s="623">
        <f t="shared" ref="G265" si="33">F265*E265</f>
        <v>0</v>
      </c>
      <c r="H265" s="623"/>
      <c r="I265" s="875"/>
      <c r="J265" s="623"/>
      <c r="K265" s="875"/>
      <c r="L265" s="875">
        <f t="shared" ref="L265" si="34">K265+I265+G265</f>
        <v>0</v>
      </c>
    </row>
    <row r="266" spans="1:12" ht="30">
      <c r="A266" s="111"/>
      <c r="B266" s="52" t="s">
        <v>65</v>
      </c>
      <c r="C266" s="118" t="s">
        <v>58</v>
      </c>
      <c r="D266" s="113">
        <v>26</v>
      </c>
      <c r="E266" s="97">
        <f>D266*E260</f>
        <v>4.4460000000000006</v>
      </c>
      <c r="F266" s="97"/>
      <c r="G266" s="138">
        <f>E266*F266</f>
        <v>0</v>
      </c>
      <c r="H266" s="175"/>
      <c r="I266" s="138"/>
      <c r="J266" s="175"/>
      <c r="K266" s="138"/>
      <c r="L266" s="138">
        <f>K266+I266+G266</f>
        <v>0</v>
      </c>
    </row>
    <row r="267" spans="1:12" s="60" customFormat="1">
      <c r="A267" s="165"/>
      <c r="B267" s="52" t="s">
        <v>57</v>
      </c>
      <c r="C267" s="1009" t="s">
        <v>58</v>
      </c>
      <c r="D267" s="221">
        <v>12.8</v>
      </c>
      <c r="E267" s="97">
        <f>D267*E260</f>
        <v>2.1888000000000001</v>
      </c>
      <c r="F267" s="121"/>
      <c r="G267" s="138">
        <f>E267*F267</f>
        <v>0</v>
      </c>
      <c r="H267" s="175"/>
      <c r="I267" s="138"/>
      <c r="J267" s="175"/>
      <c r="K267" s="138"/>
      <c r="L267" s="138">
        <f>K267+I267+G267</f>
        <v>0</v>
      </c>
    </row>
    <row r="268" spans="1:12" s="71" customFormat="1">
      <c r="A268" s="145"/>
      <c r="B268" s="117" t="s">
        <v>51</v>
      </c>
      <c r="C268" s="118" t="s">
        <v>2</v>
      </c>
      <c r="D268" s="611">
        <v>2.78</v>
      </c>
      <c r="E268" s="97">
        <f>D268*E260</f>
        <v>0.47538000000000002</v>
      </c>
      <c r="F268" s="175"/>
      <c r="G268" s="138">
        <f>E268*F268</f>
        <v>0</v>
      </c>
      <c r="H268" s="175"/>
      <c r="I268" s="138"/>
      <c r="J268" s="175"/>
      <c r="K268" s="138"/>
      <c r="L268" s="138">
        <f>K268+I268+G268</f>
        <v>0</v>
      </c>
    </row>
    <row r="269" spans="1:12" s="12" customFormat="1" ht="45">
      <c r="A269" s="311">
        <v>46</v>
      </c>
      <c r="B269" s="302" t="s">
        <v>68</v>
      </c>
      <c r="C269" s="311" t="s">
        <v>153</v>
      </c>
      <c r="D269" s="410"/>
      <c r="E269" s="395">
        <v>7.3150000000000004</v>
      </c>
      <c r="F269" s="317"/>
      <c r="G269" s="318"/>
      <c r="H269" s="317"/>
      <c r="I269" s="318"/>
      <c r="J269" s="317"/>
      <c r="K269" s="318"/>
      <c r="L269" s="318"/>
    </row>
    <row r="270" spans="1:12" s="12" customFormat="1" ht="17.399999999999999">
      <c r="A270" s="1009"/>
      <c r="B270" s="117" t="s">
        <v>42</v>
      </c>
      <c r="C270" s="1058" t="s">
        <v>155</v>
      </c>
      <c r="D270" s="119">
        <v>1</v>
      </c>
      <c r="E270" s="120">
        <f>D270*E269</f>
        <v>7.3150000000000004</v>
      </c>
      <c r="F270" s="121"/>
      <c r="G270" s="70"/>
      <c r="H270" s="121"/>
      <c r="I270" s="70">
        <f>H270*E270</f>
        <v>0</v>
      </c>
      <c r="J270" s="121"/>
      <c r="K270" s="70"/>
      <c r="L270" s="70">
        <f>K270+I270+G270</f>
        <v>0</v>
      </c>
    </row>
    <row r="271" spans="1:12" s="12" customFormat="1">
      <c r="A271" s="111"/>
      <c r="B271" s="117" t="s">
        <v>49</v>
      </c>
      <c r="C271" s="1009" t="s">
        <v>67</v>
      </c>
      <c r="D271" s="611">
        <v>2.9999999999999997E-4</v>
      </c>
      <c r="E271" s="97">
        <f>D271*E269</f>
        <v>2.1944999999999998E-3</v>
      </c>
      <c r="F271" s="96"/>
      <c r="G271" s="151"/>
      <c r="H271" s="97"/>
      <c r="I271" s="132"/>
      <c r="J271" s="97"/>
      <c r="K271" s="123">
        <f>J271*E271</f>
        <v>0</v>
      </c>
      <c r="L271" s="123">
        <f>K271+I271+G271</f>
        <v>0</v>
      </c>
    </row>
    <row r="272" spans="1:12" s="12" customFormat="1" ht="30">
      <c r="A272" s="1009"/>
      <c r="B272" s="52" t="s">
        <v>361</v>
      </c>
      <c r="C272" s="1009" t="s">
        <v>58</v>
      </c>
      <c r="D272" s="97">
        <f>(25.1+0.2+2.7)*0.01</f>
        <v>0.28000000000000003</v>
      </c>
      <c r="E272" s="97">
        <f>D272*E269</f>
        <v>2.0482000000000005</v>
      </c>
      <c r="F272" s="121"/>
      <c r="G272" s="70">
        <f>F272*E272</f>
        <v>0</v>
      </c>
      <c r="H272" s="121"/>
      <c r="I272" s="70"/>
      <c r="J272" s="121"/>
      <c r="K272" s="70"/>
      <c r="L272" s="70">
        <f>K272+I272+G272</f>
        <v>0</v>
      </c>
    </row>
    <row r="273" spans="1:12" s="359" customFormat="1" ht="21.9" customHeight="1">
      <c r="A273" s="725"/>
      <c r="B273" s="745" t="s">
        <v>69</v>
      </c>
      <c r="C273" s="767" t="s">
        <v>58</v>
      </c>
      <c r="D273" s="768">
        <v>0.15</v>
      </c>
      <c r="E273" s="769">
        <f>D273*E269</f>
        <v>1.0972500000000001</v>
      </c>
      <c r="F273" s="729"/>
      <c r="G273" s="729">
        <f>F273*E273</f>
        <v>0</v>
      </c>
      <c r="H273" s="725"/>
      <c r="I273" s="729"/>
      <c r="J273" s="725"/>
      <c r="K273" s="725"/>
      <c r="L273" s="729">
        <f>K273+I273+G273</f>
        <v>0</v>
      </c>
    </row>
    <row r="274" spans="1:12" s="12" customFormat="1">
      <c r="A274" s="111"/>
      <c r="B274" s="152" t="s">
        <v>51</v>
      </c>
      <c r="C274" s="1009" t="s">
        <v>2</v>
      </c>
      <c r="D274" s="611">
        <v>1.9E-3</v>
      </c>
      <c r="E274" s="97">
        <f>D274*E269</f>
        <v>1.3898500000000001E-2</v>
      </c>
      <c r="F274" s="97"/>
      <c r="G274" s="123">
        <f>F274*E274</f>
        <v>0</v>
      </c>
      <c r="H274" s="97"/>
      <c r="I274" s="132"/>
      <c r="J274" s="131"/>
      <c r="K274" s="132"/>
      <c r="L274" s="123">
        <f>K274+I274+G274</f>
        <v>0</v>
      </c>
    </row>
    <row r="275" spans="1:12" s="13" customFormat="1" ht="27.6">
      <c r="A275" s="334">
        <v>47</v>
      </c>
      <c r="B275" s="411" t="s">
        <v>350</v>
      </c>
      <c r="C275" s="311" t="s">
        <v>151</v>
      </c>
      <c r="D275" s="410"/>
      <c r="E275" s="395">
        <v>18.100000000000001</v>
      </c>
      <c r="F275" s="395"/>
      <c r="G275" s="308"/>
      <c r="H275" s="395"/>
      <c r="I275" s="414"/>
      <c r="J275" s="415"/>
      <c r="K275" s="414"/>
      <c r="L275" s="308"/>
    </row>
    <row r="276" spans="1:12" s="17" customFormat="1">
      <c r="A276" s="165"/>
      <c r="B276" s="117" t="s">
        <v>72</v>
      </c>
      <c r="C276" s="1009" t="s">
        <v>43</v>
      </c>
      <c r="D276" s="221">
        <v>0.82899999999999996</v>
      </c>
      <c r="E276" s="97">
        <f>D276*E275</f>
        <v>15.004900000000001</v>
      </c>
      <c r="F276" s="216"/>
      <c r="G276" s="70"/>
      <c r="H276" s="216"/>
      <c r="I276" s="222">
        <f>H276*E276</f>
        <v>0</v>
      </c>
      <c r="J276" s="216"/>
      <c r="K276" s="222"/>
      <c r="L276" s="123">
        <f>K276+I276+G276</f>
        <v>0</v>
      </c>
    </row>
    <row r="277" spans="1:12" s="71" customFormat="1">
      <c r="A277" s="1009"/>
      <c r="B277" s="117" t="s">
        <v>49</v>
      </c>
      <c r="C277" s="1009" t="s">
        <v>2</v>
      </c>
      <c r="D277" s="119">
        <v>3.8999999999999998E-3</v>
      </c>
      <c r="E277" s="120">
        <f>D277*E275</f>
        <v>7.059E-2</v>
      </c>
      <c r="F277" s="121"/>
      <c r="G277" s="70"/>
      <c r="H277" s="121"/>
      <c r="I277" s="70"/>
      <c r="J277" s="121"/>
      <c r="K277" s="170">
        <f>J277*E277</f>
        <v>0</v>
      </c>
      <c r="L277" s="170">
        <f>K277+I277+G277</f>
        <v>0</v>
      </c>
    </row>
    <row r="278" spans="1:12" s="12" customFormat="1" ht="17.399999999999999">
      <c r="A278" s="1009"/>
      <c r="B278" s="52" t="s">
        <v>351</v>
      </c>
      <c r="C278" s="1009" t="s">
        <v>142</v>
      </c>
      <c r="D278" s="130">
        <v>1.03</v>
      </c>
      <c r="E278" s="1117">
        <f>D278*E275</f>
        <v>18.643000000000001</v>
      </c>
      <c r="F278" s="216"/>
      <c r="G278" s="123">
        <f>F278*E278</f>
        <v>0</v>
      </c>
      <c r="H278" s="121"/>
      <c r="I278" s="70"/>
      <c r="J278" s="121"/>
      <c r="K278" s="70"/>
      <c r="L278" s="70">
        <f>K278+I278+G278</f>
        <v>0</v>
      </c>
    </row>
    <row r="279" spans="1:12" s="71" customFormat="1">
      <c r="A279" s="176"/>
      <c r="B279" s="52" t="s">
        <v>51</v>
      </c>
      <c r="C279" s="1009" t="s">
        <v>2</v>
      </c>
      <c r="D279" s="611">
        <v>1.6E-2</v>
      </c>
      <c r="E279" s="97">
        <f>D279*E275</f>
        <v>0.28960000000000002</v>
      </c>
      <c r="F279" s="121"/>
      <c r="G279" s="70">
        <f>F279*E279</f>
        <v>0</v>
      </c>
      <c r="H279" s="161"/>
      <c r="I279" s="55"/>
      <c r="J279" s="161"/>
      <c r="K279" s="55"/>
      <c r="L279" s="70">
        <f>K279+I279+G279</f>
        <v>0</v>
      </c>
    </row>
    <row r="280" spans="1:12" s="192" customFormat="1" ht="16.5" customHeight="1">
      <c r="A280" s="300"/>
      <c r="B280" s="302" t="s">
        <v>92</v>
      </c>
      <c r="C280" s="303"/>
      <c r="D280" s="304"/>
      <c r="E280" s="305"/>
      <c r="F280" s="305"/>
      <c r="G280" s="308">
        <f>SUM(G9:G279)</f>
        <v>0</v>
      </c>
      <c r="H280" s="305"/>
      <c r="I280" s="308">
        <f>SUM(I9:I279)</f>
        <v>0</v>
      </c>
      <c r="J280" s="306"/>
      <c r="K280" s="308">
        <f>SUM(K9:K279)</f>
        <v>0</v>
      </c>
      <c r="L280" s="308">
        <f>SUM(L9:L279)</f>
        <v>0</v>
      </c>
    </row>
    <row r="281" spans="1:12" s="192" customFormat="1" ht="16.5" customHeight="1">
      <c r="A281" s="733"/>
      <c r="B281" s="745" t="s">
        <v>336</v>
      </c>
      <c r="C281" s="958">
        <v>0.05</v>
      </c>
      <c r="D281" s="735"/>
      <c r="E281" s="736"/>
      <c r="F281" s="736"/>
      <c r="G281" s="739"/>
      <c r="H281" s="736"/>
      <c r="I281" s="739"/>
      <c r="J281" s="738"/>
      <c r="K281" s="739"/>
      <c r="L281" s="739">
        <f>G280*C281</f>
        <v>0</v>
      </c>
    </row>
    <row r="282" spans="1:12" s="192" customFormat="1" ht="16.5" customHeight="1">
      <c r="A282" s="733"/>
      <c r="B282" s="126" t="s">
        <v>21</v>
      </c>
      <c r="C282" s="725"/>
      <c r="D282" s="735"/>
      <c r="E282" s="736"/>
      <c r="F282" s="736"/>
      <c r="G282" s="739"/>
      <c r="H282" s="736"/>
      <c r="I282" s="739"/>
      <c r="J282" s="738"/>
      <c r="K282" s="739"/>
      <c r="L282" s="959">
        <f>L280+L281</f>
        <v>0</v>
      </c>
    </row>
    <row r="283" spans="1:12" s="290" customFormat="1">
      <c r="A283" s="145"/>
      <c r="B283" s="122" t="s">
        <v>93</v>
      </c>
      <c r="C283" s="128" t="s">
        <v>94</v>
      </c>
      <c r="D283" s="113"/>
      <c r="E283" s="97"/>
      <c r="F283" s="97"/>
      <c r="G283" s="123"/>
      <c r="H283" s="97"/>
      <c r="I283" s="97"/>
      <c r="J283" s="97"/>
      <c r="K283" s="123"/>
      <c r="L283" s="123">
        <f>(L282)*C283</f>
        <v>0</v>
      </c>
    </row>
    <row r="284" spans="1:12" s="291" customFormat="1">
      <c r="A284" s="145"/>
      <c r="B284" s="126" t="s">
        <v>21</v>
      </c>
      <c r="C284" s="153"/>
      <c r="D284" s="129"/>
      <c r="E284" s="133"/>
      <c r="F284" s="133"/>
      <c r="G284" s="134"/>
      <c r="H284" s="133"/>
      <c r="I284" s="133"/>
      <c r="J284" s="133"/>
      <c r="K284" s="134"/>
      <c r="L284" s="134">
        <f>L283+L282</f>
        <v>0</v>
      </c>
    </row>
    <row r="285" spans="1:12" s="290" customFormat="1">
      <c r="A285" s="145"/>
      <c r="B285" s="122" t="s">
        <v>96</v>
      </c>
      <c r="C285" s="128" t="s">
        <v>95</v>
      </c>
      <c r="D285" s="113"/>
      <c r="E285" s="97"/>
      <c r="F285" s="97"/>
      <c r="G285" s="123"/>
      <c r="H285" s="97"/>
      <c r="I285" s="97"/>
      <c r="J285" s="97"/>
      <c r="K285" s="123"/>
      <c r="L285" s="123">
        <f>L284*C285</f>
        <v>0</v>
      </c>
    </row>
    <row r="286" spans="1:12" s="289" customFormat="1">
      <c r="A286" s="145"/>
      <c r="B286" s="53" t="s">
        <v>22</v>
      </c>
      <c r="C286" s="491"/>
      <c r="D286" s="129"/>
      <c r="E286" s="133"/>
      <c r="F286" s="133"/>
      <c r="G286" s="134"/>
      <c r="H286" s="133"/>
      <c r="I286" s="133"/>
      <c r="J286" s="133"/>
      <c r="K286" s="134"/>
      <c r="L286" s="134">
        <f>SUM(L284:L285)</f>
        <v>0</v>
      </c>
    </row>
    <row r="287" spans="1:12">
      <c r="C287" s="178"/>
      <c r="D287" s="179"/>
      <c r="E287" s="180"/>
      <c r="F287" s="181"/>
      <c r="G287" s="66"/>
      <c r="H287" s="181"/>
      <c r="I287" s="181"/>
      <c r="J287" s="181"/>
      <c r="K287" s="181"/>
      <c r="L287" s="180"/>
    </row>
    <row r="288" spans="1:12">
      <c r="B288" s="58"/>
      <c r="C288" s="50"/>
      <c r="D288" s="182"/>
      <c r="E288" s="183"/>
      <c r="F288" s="183"/>
      <c r="G288" s="184"/>
      <c r="H288" s="185"/>
      <c r="I288" s="185"/>
      <c r="J288" s="185"/>
      <c r="K288" s="185"/>
      <c r="L288" s="181"/>
    </row>
    <row r="289" spans="1:14" ht="41.25" customHeight="1">
      <c r="B289" s="58"/>
      <c r="C289" s="58"/>
      <c r="D289" s="186"/>
      <c r="E289" s="183"/>
      <c r="F289" s="183"/>
      <c r="G289" s="59"/>
      <c r="H289" s="187"/>
      <c r="I289" s="187"/>
      <c r="J289" s="187"/>
      <c r="K289" s="187"/>
      <c r="L289" s="180"/>
    </row>
    <row r="290" spans="1:14" ht="20.25" customHeight="1">
      <c r="B290" s="58"/>
      <c r="C290" s="58"/>
      <c r="D290" s="186"/>
      <c r="E290" s="183"/>
      <c r="F290" s="183"/>
      <c r="G290" s="59"/>
      <c r="H290" s="188"/>
      <c r="I290" s="188"/>
      <c r="J290" s="188"/>
      <c r="K290" s="188"/>
      <c r="L290" s="180"/>
    </row>
    <row r="291" spans="1:14">
      <c r="D291" s="179"/>
      <c r="E291" s="180"/>
      <c r="F291" s="180"/>
      <c r="G291" s="189"/>
      <c r="H291" s="180"/>
      <c r="I291" s="180"/>
      <c r="J291" s="180"/>
      <c r="K291" s="180"/>
      <c r="L291" s="180"/>
    </row>
    <row r="292" spans="1:14">
      <c r="D292" s="179"/>
      <c r="E292" s="180"/>
      <c r="F292" s="180"/>
      <c r="G292" s="189"/>
      <c r="H292" s="180"/>
      <c r="I292" s="180"/>
      <c r="J292" s="180"/>
      <c r="K292" s="180"/>
      <c r="L292" s="180"/>
    </row>
    <row r="293" spans="1:14">
      <c r="D293" s="179"/>
      <c r="E293" s="180"/>
      <c r="F293" s="180"/>
      <c r="G293" s="189"/>
      <c r="H293" s="180"/>
      <c r="I293" s="180"/>
      <c r="J293" s="180"/>
      <c r="K293" s="180"/>
      <c r="L293" s="180"/>
    </row>
    <row r="294" spans="1:14">
      <c r="D294" s="179"/>
      <c r="E294" s="180"/>
      <c r="F294" s="180"/>
      <c r="G294" s="189"/>
      <c r="H294" s="180"/>
      <c r="I294" s="180"/>
      <c r="J294" s="180"/>
      <c r="K294" s="180"/>
      <c r="L294" s="180"/>
    </row>
    <row r="295" spans="1:14">
      <c r="D295" s="179"/>
      <c r="E295" s="180"/>
      <c r="F295" s="180"/>
      <c r="G295" s="189"/>
      <c r="H295" s="180"/>
      <c r="I295" s="180"/>
      <c r="J295" s="180"/>
      <c r="K295" s="180"/>
      <c r="L295" s="180"/>
    </row>
    <row r="296" spans="1:14">
      <c r="D296" s="179"/>
      <c r="E296" s="180"/>
      <c r="F296" s="180"/>
      <c r="G296" s="189"/>
      <c r="H296" s="180"/>
      <c r="I296" s="180"/>
      <c r="J296" s="180"/>
      <c r="K296" s="180"/>
      <c r="L296" s="180"/>
    </row>
    <row r="297" spans="1:14">
      <c r="D297" s="179"/>
      <c r="E297" s="180"/>
      <c r="F297" s="180"/>
      <c r="G297" s="189"/>
      <c r="H297" s="180"/>
      <c r="I297" s="180"/>
      <c r="J297" s="180"/>
      <c r="K297" s="180"/>
      <c r="L297" s="180"/>
    </row>
    <row r="298" spans="1:14">
      <c r="D298" s="179"/>
      <c r="E298" s="180"/>
      <c r="F298" s="180"/>
      <c r="G298" s="189"/>
      <c r="H298" s="180"/>
      <c r="I298" s="180"/>
      <c r="J298" s="180"/>
      <c r="K298" s="180"/>
      <c r="L298" s="180"/>
    </row>
    <row r="299" spans="1:14">
      <c r="D299" s="179"/>
      <c r="E299" s="180"/>
      <c r="F299" s="180"/>
      <c r="G299" s="189"/>
      <c r="H299" s="180"/>
      <c r="I299" s="180"/>
      <c r="J299" s="180"/>
      <c r="K299" s="180"/>
      <c r="L299" s="180"/>
    </row>
    <row r="300" spans="1:14">
      <c r="D300" s="179"/>
      <c r="E300" s="180"/>
      <c r="F300" s="180"/>
      <c r="G300" s="189"/>
      <c r="H300" s="180"/>
      <c r="I300" s="180"/>
      <c r="J300" s="180"/>
      <c r="K300" s="180"/>
      <c r="L300" s="180"/>
    </row>
    <row r="301" spans="1:14">
      <c r="D301" s="179"/>
      <c r="E301" s="180"/>
      <c r="F301" s="180"/>
      <c r="G301" s="189"/>
      <c r="H301" s="180"/>
      <c r="I301" s="180"/>
      <c r="J301" s="180"/>
      <c r="K301" s="180"/>
      <c r="L301" s="180"/>
    </row>
    <row r="302" spans="1:14" s="217" customFormat="1">
      <c r="A302" s="62"/>
      <c r="B302" s="19"/>
      <c r="C302" s="51"/>
      <c r="D302" s="179"/>
      <c r="E302" s="180"/>
      <c r="F302" s="180"/>
      <c r="G302" s="189"/>
      <c r="H302" s="180"/>
      <c r="I302" s="180"/>
      <c r="J302" s="180"/>
      <c r="K302" s="180"/>
      <c r="L302" s="180"/>
      <c r="M302" s="251"/>
      <c r="N302" s="251"/>
    </row>
    <row r="303" spans="1:14" s="217" customFormat="1">
      <c r="A303" s="62"/>
      <c r="B303" s="19"/>
      <c r="C303" s="51"/>
      <c r="D303" s="179"/>
      <c r="E303" s="180"/>
      <c r="F303" s="180"/>
      <c r="G303" s="189"/>
      <c r="H303" s="180"/>
      <c r="I303" s="180"/>
      <c r="J303" s="180"/>
      <c r="K303" s="180"/>
      <c r="L303" s="180"/>
      <c r="M303" s="251"/>
      <c r="N303" s="251"/>
    </row>
    <row r="304" spans="1:14" s="217" customFormat="1">
      <c r="A304" s="62"/>
      <c r="B304" s="19"/>
      <c r="C304" s="51"/>
      <c r="D304" s="179"/>
      <c r="E304" s="180"/>
      <c r="F304" s="180"/>
      <c r="G304" s="189"/>
      <c r="H304" s="180"/>
      <c r="I304" s="180"/>
      <c r="J304" s="180"/>
      <c r="K304" s="180"/>
      <c r="L304" s="180"/>
      <c r="M304" s="251"/>
      <c r="N304" s="251"/>
    </row>
    <row r="305" spans="1:14" s="217" customFormat="1">
      <c r="A305" s="62"/>
      <c r="B305" s="19"/>
      <c r="C305" s="51"/>
      <c r="D305" s="179"/>
      <c r="E305" s="180"/>
      <c r="F305" s="180"/>
      <c r="G305" s="189"/>
      <c r="H305" s="180"/>
      <c r="I305" s="180"/>
      <c r="J305" s="180"/>
      <c r="K305" s="180"/>
      <c r="L305" s="180"/>
      <c r="M305" s="251"/>
      <c r="N305" s="251"/>
    </row>
    <row r="306" spans="1:14" s="217" customFormat="1">
      <c r="A306" s="62"/>
      <c r="B306" s="19"/>
      <c r="C306" s="51"/>
      <c r="D306" s="179"/>
      <c r="E306" s="180"/>
      <c r="F306" s="180"/>
      <c r="G306" s="189"/>
      <c r="H306" s="180"/>
      <c r="I306" s="180"/>
      <c r="J306" s="180"/>
      <c r="K306" s="180"/>
      <c r="L306" s="180"/>
      <c r="M306" s="251"/>
      <c r="N306" s="251"/>
    </row>
    <row r="307" spans="1:14" s="217" customFormat="1">
      <c r="A307" s="62"/>
      <c r="B307" s="19"/>
      <c r="C307" s="51"/>
      <c r="D307" s="179"/>
      <c r="E307" s="180"/>
      <c r="F307" s="180"/>
      <c r="G307" s="189"/>
      <c r="H307" s="180"/>
      <c r="I307" s="180"/>
      <c r="J307" s="180"/>
      <c r="K307" s="180"/>
      <c r="L307" s="180"/>
      <c r="M307" s="251"/>
      <c r="N307" s="251"/>
    </row>
    <row r="308" spans="1:14" s="217" customFormat="1">
      <c r="A308" s="62"/>
      <c r="B308" s="19"/>
      <c r="C308" s="51"/>
      <c r="D308" s="179"/>
      <c r="E308" s="180"/>
      <c r="F308" s="180"/>
      <c r="G308" s="189"/>
      <c r="H308" s="180"/>
      <c r="I308" s="180"/>
      <c r="J308" s="180"/>
      <c r="K308" s="180"/>
      <c r="L308" s="180"/>
      <c r="M308" s="251"/>
      <c r="N308" s="251"/>
    </row>
    <row r="309" spans="1:14" s="217" customFormat="1">
      <c r="A309" s="62"/>
      <c r="B309" s="19"/>
      <c r="C309" s="51"/>
      <c r="D309" s="179"/>
      <c r="E309" s="180"/>
      <c r="F309" s="180"/>
      <c r="G309" s="189"/>
      <c r="H309" s="180"/>
      <c r="I309" s="180"/>
      <c r="J309" s="180"/>
      <c r="K309" s="180"/>
      <c r="L309" s="180"/>
      <c r="M309" s="251"/>
      <c r="N309" s="251"/>
    </row>
    <row r="310" spans="1:14" s="217" customFormat="1">
      <c r="A310" s="62"/>
      <c r="B310" s="19"/>
      <c r="C310" s="51"/>
      <c r="D310" s="179"/>
      <c r="E310" s="180"/>
      <c r="F310" s="180"/>
      <c r="G310" s="189"/>
      <c r="H310" s="180"/>
      <c r="I310" s="180"/>
      <c r="J310" s="180"/>
      <c r="K310" s="180"/>
      <c r="L310" s="180"/>
      <c r="M310" s="251"/>
      <c r="N310" s="251"/>
    </row>
    <row r="311" spans="1:14" s="217" customFormat="1">
      <c r="A311" s="62"/>
      <c r="B311" s="19"/>
      <c r="C311" s="51"/>
      <c r="D311" s="179"/>
      <c r="E311" s="180"/>
      <c r="F311" s="180"/>
      <c r="G311" s="189"/>
      <c r="H311" s="180"/>
      <c r="I311" s="180"/>
      <c r="J311" s="180"/>
      <c r="K311" s="180"/>
      <c r="L311" s="180"/>
      <c r="M311" s="251"/>
      <c r="N311" s="251"/>
    </row>
    <row r="312" spans="1:14" s="217" customFormat="1">
      <c r="A312" s="62"/>
      <c r="B312" s="19"/>
      <c r="C312" s="51"/>
      <c r="D312" s="179"/>
      <c r="E312" s="180"/>
      <c r="F312" s="180"/>
      <c r="G312" s="189"/>
      <c r="H312" s="180"/>
      <c r="I312" s="180"/>
      <c r="J312" s="180"/>
      <c r="K312" s="180"/>
      <c r="L312" s="180"/>
      <c r="M312" s="251"/>
      <c r="N312" s="251"/>
    </row>
    <row r="313" spans="1:14" s="217" customFormat="1">
      <c r="A313" s="62"/>
      <c r="B313" s="19"/>
      <c r="C313" s="51"/>
      <c r="D313" s="190"/>
      <c r="E313" s="189"/>
      <c r="F313" s="189"/>
      <c r="G313" s="189"/>
      <c r="H313" s="189"/>
      <c r="I313" s="189"/>
      <c r="J313" s="189"/>
      <c r="K313" s="189"/>
      <c r="L313" s="189"/>
      <c r="M313" s="251"/>
      <c r="N313" s="251"/>
    </row>
    <row r="314" spans="1:14" s="217" customFormat="1">
      <c r="A314" s="62"/>
      <c r="B314" s="19"/>
      <c r="C314" s="51"/>
      <c r="D314" s="190"/>
      <c r="E314" s="189"/>
      <c r="F314" s="189"/>
      <c r="G314" s="189"/>
      <c r="H314" s="189"/>
      <c r="I314" s="189"/>
      <c r="J314" s="189"/>
      <c r="K314" s="189"/>
      <c r="L314" s="189"/>
      <c r="M314" s="251"/>
      <c r="N314" s="251"/>
    </row>
    <row r="315" spans="1:14" s="217" customFormat="1">
      <c r="A315" s="62"/>
      <c r="B315" s="19"/>
      <c r="C315" s="51"/>
      <c r="D315" s="190"/>
      <c r="E315" s="189"/>
      <c r="F315" s="189"/>
      <c r="G315" s="189"/>
      <c r="H315" s="189"/>
      <c r="I315" s="189"/>
      <c r="J315" s="189"/>
      <c r="K315" s="189"/>
      <c r="L315" s="189"/>
      <c r="M315" s="251"/>
      <c r="N315" s="251"/>
    </row>
    <row r="316" spans="1:14" s="217" customFormat="1">
      <c r="A316" s="62"/>
      <c r="B316" s="19"/>
      <c r="C316" s="51"/>
      <c r="D316" s="190"/>
      <c r="E316" s="190"/>
      <c r="F316" s="190"/>
      <c r="G316" s="190"/>
      <c r="H316" s="190"/>
      <c r="I316" s="190"/>
      <c r="J316" s="190"/>
      <c r="K316" s="190"/>
      <c r="L316" s="190"/>
      <c r="M316" s="251"/>
      <c r="N316" s="251"/>
    </row>
  </sheetData>
  <autoFilter ref="A7:L315"/>
  <mergeCells count="10">
    <mergeCell ref="L5:L6"/>
    <mergeCell ref="B2:J2"/>
    <mergeCell ref="B3:I3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118110236220472" right="0.118110236220472" top="0.31299212599999998" bottom="0.24803149599999999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14689" r:id="rId4" name="Control 1">
          <controlPr defaultSize="0" r:id="rId5">
            <anchor moveWithCells="1">
              <from>
                <xdr:col>12</xdr:col>
                <xdr:colOff>121920</xdr:colOff>
                <xdr:row>232</xdr:row>
                <xdr:rowOff>121920</xdr:rowOff>
              </from>
              <to>
                <xdr:col>12</xdr:col>
                <xdr:colOff>350520</xdr:colOff>
                <xdr:row>233</xdr:row>
                <xdr:rowOff>167640</xdr:rowOff>
              </to>
            </anchor>
          </controlPr>
        </control>
      </mc:Choice>
      <mc:Fallback>
        <control shapeId="114689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view="pageBreakPreview" topLeftCell="A16" zoomScaleSheetLayoutView="100" workbookViewId="0">
      <selection activeCell="J22" sqref="J22"/>
    </sheetView>
  </sheetViews>
  <sheetFormatPr defaultColWidth="9" defaultRowHeight="16.2"/>
  <cols>
    <col min="1" max="2" width="9.109375" style="90"/>
    <col min="3" max="3" width="9.44140625" style="90" customWidth="1"/>
    <col min="4" max="4" width="9.109375" style="90"/>
    <col min="5" max="5" width="9" style="90" customWidth="1"/>
    <col min="6" max="11" width="9.109375" style="90"/>
  </cols>
  <sheetData>
    <row r="1" spans="1:14" ht="14.4">
      <c r="A1"/>
      <c r="B1"/>
      <c r="C1"/>
      <c r="D1"/>
      <c r="E1"/>
      <c r="F1"/>
      <c r="G1"/>
      <c r="H1"/>
      <c r="I1"/>
      <c r="J1"/>
      <c r="K1"/>
    </row>
    <row r="2" spans="1:14">
      <c r="A2" s="91"/>
      <c r="B2" s="91"/>
      <c r="C2" s="91"/>
      <c r="D2" s="91"/>
      <c r="E2" s="91"/>
      <c r="F2" s="91"/>
      <c r="G2" s="91"/>
      <c r="H2" s="91"/>
      <c r="I2" s="91"/>
    </row>
    <row r="3" spans="1:14" ht="19.8">
      <c r="F3" s="1143"/>
      <c r="G3" s="1143"/>
      <c r="H3" s="1143"/>
    </row>
    <row r="9" spans="1:14" ht="19.8">
      <c r="A9" s="1144" t="s">
        <v>406</v>
      </c>
      <c r="B9" s="1144"/>
      <c r="C9" s="1144"/>
      <c r="D9" s="1144"/>
      <c r="E9" s="1144"/>
      <c r="F9" s="1144"/>
      <c r="G9" s="1144"/>
      <c r="H9" s="1144"/>
      <c r="I9" s="1144"/>
      <c r="J9" s="1144"/>
      <c r="K9" s="1144"/>
      <c r="L9" s="1144"/>
      <c r="M9" s="1144"/>
      <c r="N9" s="1144"/>
    </row>
    <row r="11" spans="1:14" ht="19.8">
      <c r="A11" s="1143" t="s">
        <v>0</v>
      </c>
      <c r="B11" s="1143"/>
      <c r="C11" s="1143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</row>
    <row r="12" spans="1:14" ht="14.4">
      <c r="A12"/>
      <c r="B12"/>
      <c r="C12"/>
      <c r="D12"/>
      <c r="E12"/>
      <c r="F12"/>
      <c r="G12"/>
      <c r="H12"/>
      <c r="I12"/>
      <c r="J12"/>
      <c r="K12"/>
    </row>
    <row r="13" spans="1:14" ht="14.4">
      <c r="A13"/>
      <c r="B13"/>
      <c r="C13"/>
      <c r="D13"/>
      <c r="E13"/>
      <c r="F13"/>
      <c r="G13"/>
      <c r="H13"/>
      <c r="I13"/>
      <c r="J13"/>
      <c r="K13"/>
    </row>
    <row r="14" spans="1:14" ht="14.4">
      <c r="A14"/>
      <c r="B14"/>
      <c r="C14"/>
      <c r="D14"/>
      <c r="E14"/>
      <c r="F14"/>
      <c r="G14"/>
      <c r="H14"/>
      <c r="I14"/>
      <c r="J14"/>
      <c r="K14"/>
    </row>
    <row r="20" spans="1:17">
      <c r="E20" s="1146" t="s">
        <v>1</v>
      </c>
      <c r="F20" s="1146"/>
      <c r="G20" s="1146"/>
      <c r="H20" s="1146"/>
      <c r="I20" s="1146"/>
      <c r="J20" s="1146"/>
      <c r="K20" s="1147">
        <f>'კრებს-2'!H23</f>
        <v>0</v>
      </c>
      <c r="L20" s="1145"/>
      <c r="M20" s="90" t="s">
        <v>2</v>
      </c>
      <c r="N20" s="90"/>
      <c r="O20" s="90"/>
      <c r="P20" s="90"/>
      <c r="Q20" s="90"/>
    </row>
    <row r="24" spans="1:17">
      <c r="C24" s="90" t="s">
        <v>3</v>
      </c>
      <c r="J24" s="90" t="s">
        <v>4</v>
      </c>
    </row>
    <row r="28" spans="1:17">
      <c r="A28" s="1145" t="s">
        <v>163</v>
      </c>
      <c r="B28" s="1145"/>
      <c r="C28" s="1145"/>
      <c r="D28" s="1145"/>
      <c r="E28" s="1145"/>
      <c r="F28" s="1145"/>
      <c r="G28" s="1145"/>
      <c r="H28" s="1145"/>
      <c r="I28" s="1145"/>
      <c r="J28" s="1145"/>
      <c r="K28" s="1145"/>
      <c r="L28" s="1145"/>
      <c r="M28" s="1145"/>
      <c r="N28" s="1145"/>
    </row>
    <row r="29" spans="1:17" ht="14.4">
      <c r="A29"/>
      <c r="B29"/>
      <c r="C29"/>
      <c r="D29"/>
      <c r="E29"/>
      <c r="F29"/>
      <c r="G29"/>
      <c r="H29"/>
      <c r="I29"/>
      <c r="J29"/>
      <c r="K29"/>
    </row>
  </sheetData>
  <mergeCells count="6">
    <mergeCell ref="A28:N28"/>
    <mergeCell ref="F3:H3"/>
    <mergeCell ref="A9:N9"/>
    <mergeCell ref="A11:N11"/>
    <mergeCell ref="E20:J20"/>
    <mergeCell ref="K20:L20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2"/>
  <sheetViews>
    <sheetView zoomScaleNormal="100" zoomScaleSheetLayoutView="100" workbookViewId="0">
      <selection activeCell="F16" sqref="F16"/>
    </sheetView>
  </sheetViews>
  <sheetFormatPr defaultColWidth="9" defaultRowHeight="16.2"/>
  <cols>
    <col min="1" max="7" width="9.109375" style="82"/>
    <col min="8" max="8" width="14.33203125" style="82" customWidth="1"/>
    <col min="9" max="9" width="9.109375" style="82"/>
    <col min="10" max="10" width="9.44140625" style="82" customWidth="1"/>
    <col min="11" max="11" width="9.109375" style="82"/>
    <col min="12" max="12" width="13.44140625" style="82" customWidth="1"/>
    <col min="13" max="13" width="11.6640625" style="82" customWidth="1"/>
    <col min="14" max="14" width="9.109375" style="82"/>
  </cols>
  <sheetData>
    <row r="1" spans="1:14" ht="17.399999999999999">
      <c r="A1" s="1153" t="s">
        <v>404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86"/>
    </row>
    <row r="3" spans="1:14" ht="19.8">
      <c r="A3" s="1154" t="s">
        <v>5</v>
      </c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87"/>
    </row>
    <row r="4" spans="1:14" ht="19.8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7.399999999999999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>
      <c r="A6" s="1149" t="s">
        <v>6</v>
      </c>
      <c r="B6" s="1149"/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  <c r="N6" s="1149"/>
    </row>
    <row r="7" spans="1:14" ht="122.25" customHeight="1">
      <c r="A7" s="1148" t="s">
        <v>165</v>
      </c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</row>
    <row r="8" spans="1:14" ht="42" customHeight="1">
      <c r="A8" s="1152" t="s">
        <v>7</v>
      </c>
      <c r="B8" s="1152"/>
      <c r="C8" s="1152"/>
      <c r="D8" s="1152"/>
      <c r="E8" s="1152"/>
      <c r="F8" s="1152"/>
      <c r="G8" s="1152"/>
      <c r="H8" s="85">
        <f>'კრებს-2'!H23</f>
        <v>0</v>
      </c>
      <c r="I8" s="1152" t="s">
        <v>8</v>
      </c>
      <c r="J8" s="1152"/>
      <c r="K8" s="1152"/>
      <c r="L8" s="85">
        <f>H8/1.18*0.18</f>
        <v>0</v>
      </c>
      <c r="M8" s="82" t="s">
        <v>9</v>
      </c>
    </row>
    <row r="9" spans="1:14" ht="55.5" customHeight="1">
      <c r="A9" s="1148" t="s">
        <v>10</v>
      </c>
      <c r="B9" s="1148"/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1148"/>
    </row>
    <row r="10" spans="1:14" ht="29.25" customHeight="1">
      <c r="A10" s="1149"/>
      <c r="B10" s="1149"/>
      <c r="C10" s="1149"/>
      <c r="D10" s="1149"/>
      <c r="E10" s="1149"/>
      <c r="F10" s="1149"/>
      <c r="G10" s="1149"/>
      <c r="H10" s="1149"/>
      <c r="I10" s="1149"/>
      <c r="J10" s="1149"/>
      <c r="K10" s="1149"/>
      <c r="L10" s="1149"/>
      <c r="M10" s="1149"/>
      <c r="N10" s="1149"/>
    </row>
    <row r="11" spans="1:14">
      <c r="A11" s="1150"/>
      <c r="B11" s="1150"/>
      <c r="C11" s="1150"/>
      <c r="D11" s="1150"/>
      <c r="E11" s="1150"/>
      <c r="F11" s="1150"/>
      <c r="G11" s="1150"/>
      <c r="H11" s="1150"/>
      <c r="I11" s="1150"/>
      <c r="J11" s="1150"/>
      <c r="K11" s="1150"/>
      <c r="L11" s="1150"/>
      <c r="M11" s="1150"/>
      <c r="N11" s="88"/>
    </row>
    <row r="12" spans="1:14" ht="27" customHeight="1">
      <c r="A12" s="1151" t="s">
        <v>11</v>
      </c>
      <c r="B12" s="1151"/>
      <c r="H12" s="1152" t="s">
        <v>12</v>
      </c>
      <c r="I12" s="1152"/>
      <c r="J12" s="1152"/>
      <c r="K12" s="1152"/>
      <c r="L12" s="1152"/>
    </row>
    <row r="22" spans="10:10">
      <c r="J22" s="89"/>
    </row>
  </sheetData>
  <mergeCells count="11">
    <mergeCell ref="A1:M1"/>
    <mergeCell ref="A3:M3"/>
    <mergeCell ref="A6:N6"/>
    <mergeCell ref="A7:M7"/>
    <mergeCell ref="A8:G8"/>
    <mergeCell ref="I8:K8"/>
    <mergeCell ref="A9:N9"/>
    <mergeCell ref="A10:N10"/>
    <mergeCell ref="A11:M11"/>
    <mergeCell ref="A12:B12"/>
    <mergeCell ref="H12:L12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6"/>
  <sheetViews>
    <sheetView tabSelected="1" topLeftCell="A19" zoomScaleNormal="100" zoomScaleSheetLayoutView="100" workbookViewId="0">
      <selection activeCell="A11" sqref="A11:XFD16"/>
    </sheetView>
  </sheetViews>
  <sheetFormatPr defaultColWidth="9" defaultRowHeight="15"/>
  <cols>
    <col min="1" max="1" width="10.44140625" style="23" customWidth="1"/>
    <col min="2" max="2" width="14.33203125" style="297" customWidth="1"/>
    <col min="3" max="3" width="42.6640625" style="24" customWidth="1"/>
    <col min="4" max="4" width="12.88671875" style="23" customWidth="1"/>
    <col min="5" max="5" width="11.6640625" style="24" customWidth="1"/>
    <col min="6" max="6" width="13.109375" style="24" customWidth="1"/>
    <col min="7" max="7" width="12" style="24" customWidth="1"/>
    <col min="8" max="8" width="12.88671875" style="23" customWidth="1"/>
    <col min="9" max="245" width="9" style="25"/>
    <col min="246" max="246" width="7.6640625" style="25" customWidth="1"/>
    <col min="247" max="247" width="12.5546875" style="25" customWidth="1"/>
    <col min="248" max="248" width="41.44140625" style="25" customWidth="1"/>
    <col min="249" max="249" width="13.6640625" style="25" customWidth="1"/>
    <col min="250" max="250" width="13.5546875" style="25" customWidth="1"/>
    <col min="251" max="251" width="13" style="25" customWidth="1"/>
    <col min="252" max="252" width="12.109375" style="25" customWidth="1"/>
    <col min="253" max="253" width="12.33203125" style="25" customWidth="1"/>
    <col min="254" max="501" width="9" style="25"/>
    <col min="502" max="502" width="7.6640625" style="25" customWidth="1"/>
    <col min="503" max="503" width="12.5546875" style="25" customWidth="1"/>
    <col min="504" max="504" width="41.44140625" style="25" customWidth="1"/>
    <col min="505" max="505" width="13.6640625" style="25" customWidth="1"/>
    <col min="506" max="506" width="13.5546875" style="25" customWidth="1"/>
    <col min="507" max="507" width="13" style="25" customWidth="1"/>
    <col min="508" max="508" width="12.109375" style="25" customWidth="1"/>
    <col min="509" max="509" width="12.33203125" style="25" customWidth="1"/>
    <col min="510" max="757" width="9" style="25"/>
    <col min="758" max="758" width="7.6640625" style="25" customWidth="1"/>
    <col min="759" max="759" width="12.5546875" style="25" customWidth="1"/>
    <col min="760" max="760" width="41.44140625" style="25" customWidth="1"/>
    <col min="761" max="761" width="13.6640625" style="25" customWidth="1"/>
    <col min="762" max="762" width="13.5546875" style="25" customWidth="1"/>
    <col min="763" max="763" width="13" style="25" customWidth="1"/>
    <col min="764" max="764" width="12.109375" style="25" customWidth="1"/>
    <col min="765" max="765" width="12.33203125" style="25" customWidth="1"/>
    <col min="766" max="1013" width="9" style="25"/>
    <col min="1014" max="1014" width="7.6640625" style="25" customWidth="1"/>
    <col min="1015" max="1015" width="12.5546875" style="25" customWidth="1"/>
    <col min="1016" max="1016" width="41.44140625" style="25" customWidth="1"/>
    <col min="1017" max="1017" width="13.6640625" style="25" customWidth="1"/>
    <col min="1018" max="1018" width="13.5546875" style="25" customWidth="1"/>
    <col min="1019" max="1019" width="13" style="25" customWidth="1"/>
    <col min="1020" max="1020" width="12.109375" style="25" customWidth="1"/>
    <col min="1021" max="1021" width="12.33203125" style="25" customWidth="1"/>
    <col min="1022" max="1269" width="9" style="25"/>
    <col min="1270" max="1270" width="7.6640625" style="25" customWidth="1"/>
    <col min="1271" max="1271" width="12.5546875" style="25" customWidth="1"/>
    <col min="1272" max="1272" width="41.44140625" style="25" customWidth="1"/>
    <col min="1273" max="1273" width="13.6640625" style="25" customWidth="1"/>
    <col min="1274" max="1274" width="13.5546875" style="25" customWidth="1"/>
    <col min="1275" max="1275" width="13" style="25" customWidth="1"/>
    <col min="1276" max="1276" width="12.109375" style="25" customWidth="1"/>
    <col min="1277" max="1277" width="12.33203125" style="25" customWidth="1"/>
    <col min="1278" max="1525" width="9" style="25"/>
    <col min="1526" max="1526" width="7.6640625" style="25" customWidth="1"/>
    <col min="1527" max="1527" width="12.5546875" style="25" customWidth="1"/>
    <col min="1528" max="1528" width="41.44140625" style="25" customWidth="1"/>
    <col min="1529" max="1529" width="13.6640625" style="25" customWidth="1"/>
    <col min="1530" max="1530" width="13.5546875" style="25" customWidth="1"/>
    <col min="1531" max="1531" width="13" style="25" customWidth="1"/>
    <col min="1532" max="1532" width="12.109375" style="25" customWidth="1"/>
    <col min="1533" max="1533" width="12.33203125" style="25" customWidth="1"/>
    <col min="1534" max="1781" width="9" style="25"/>
    <col min="1782" max="1782" width="7.6640625" style="25" customWidth="1"/>
    <col min="1783" max="1783" width="12.5546875" style="25" customWidth="1"/>
    <col min="1784" max="1784" width="41.44140625" style="25" customWidth="1"/>
    <col min="1785" max="1785" width="13.6640625" style="25" customWidth="1"/>
    <col min="1786" max="1786" width="13.5546875" style="25" customWidth="1"/>
    <col min="1787" max="1787" width="13" style="25" customWidth="1"/>
    <col min="1788" max="1788" width="12.109375" style="25" customWidth="1"/>
    <col min="1789" max="1789" width="12.33203125" style="25" customWidth="1"/>
    <col min="1790" max="2037" width="9" style="25"/>
    <col min="2038" max="2038" width="7.6640625" style="25" customWidth="1"/>
    <col min="2039" max="2039" width="12.5546875" style="25" customWidth="1"/>
    <col min="2040" max="2040" width="41.44140625" style="25" customWidth="1"/>
    <col min="2041" max="2041" width="13.6640625" style="25" customWidth="1"/>
    <col min="2042" max="2042" width="13.5546875" style="25" customWidth="1"/>
    <col min="2043" max="2043" width="13" style="25" customWidth="1"/>
    <col min="2044" max="2044" width="12.109375" style="25" customWidth="1"/>
    <col min="2045" max="2045" width="12.33203125" style="25" customWidth="1"/>
    <col min="2046" max="2293" width="9" style="25"/>
    <col min="2294" max="2294" width="7.6640625" style="25" customWidth="1"/>
    <col min="2295" max="2295" width="12.5546875" style="25" customWidth="1"/>
    <col min="2296" max="2296" width="41.44140625" style="25" customWidth="1"/>
    <col min="2297" max="2297" width="13.6640625" style="25" customWidth="1"/>
    <col min="2298" max="2298" width="13.5546875" style="25" customWidth="1"/>
    <col min="2299" max="2299" width="13" style="25" customWidth="1"/>
    <col min="2300" max="2300" width="12.109375" style="25" customWidth="1"/>
    <col min="2301" max="2301" width="12.33203125" style="25" customWidth="1"/>
    <col min="2302" max="2549" width="9" style="25"/>
    <col min="2550" max="2550" width="7.6640625" style="25" customWidth="1"/>
    <col min="2551" max="2551" width="12.5546875" style="25" customWidth="1"/>
    <col min="2552" max="2552" width="41.44140625" style="25" customWidth="1"/>
    <col min="2553" max="2553" width="13.6640625" style="25" customWidth="1"/>
    <col min="2554" max="2554" width="13.5546875" style="25" customWidth="1"/>
    <col min="2555" max="2555" width="13" style="25" customWidth="1"/>
    <col min="2556" max="2556" width="12.109375" style="25" customWidth="1"/>
    <col min="2557" max="2557" width="12.33203125" style="25" customWidth="1"/>
    <col min="2558" max="2805" width="9" style="25"/>
    <col min="2806" max="2806" width="7.6640625" style="25" customWidth="1"/>
    <col min="2807" max="2807" width="12.5546875" style="25" customWidth="1"/>
    <col min="2808" max="2808" width="41.44140625" style="25" customWidth="1"/>
    <col min="2809" max="2809" width="13.6640625" style="25" customWidth="1"/>
    <col min="2810" max="2810" width="13.5546875" style="25" customWidth="1"/>
    <col min="2811" max="2811" width="13" style="25" customWidth="1"/>
    <col min="2812" max="2812" width="12.109375" style="25" customWidth="1"/>
    <col min="2813" max="2813" width="12.33203125" style="25" customWidth="1"/>
    <col min="2814" max="3061" width="9" style="25"/>
    <col min="3062" max="3062" width="7.6640625" style="25" customWidth="1"/>
    <col min="3063" max="3063" width="12.5546875" style="25" customWidth="1"/>
    <col min="3064" max="3064" width="41.44140625" style="25" customWidth="1"/>
    <col min="3065" max="3065" width="13.6640625" style="25" customWidth="1"/>
    <col min="3066" max="3066" width="13.5546875" style="25" customWidth="1"/>
    <col min="3067" max="3067" width="13" style="25" customWidth="1"/>
    <col min="3068" max="3068" width="12.109375" style="25" customWidth="1"/>
    <col min="3069" max="3069" width="12.33203125" style="25" customWidth="1"/>
    <col min="3070" max="3317" width="9" style="25"/>
    <col min="3318" max="3318" width="7.6640625" style="25" customWidth="1"/>
    <col min="3319" max="3319" width="12.5546875" style="25" customWidth="1"/>
    <col min="3320" max="3320" width="41.44140625" style="25" customWidth="1"/>
    <col min="3321" max="3321" width="13.6640625" style="25" customWidth="1"/>
    <col min="3322" max="3322" width="13.5546875" style="25" customWidth="1"/>
    <col min="3323" max="3323" width="13" style="25" customWidth="1"/>
    <col min="3324" max="3324" width="12.109375" style="25" customWidth="1"/>
    <col min="3325" max="3325" width="12.33203125" style="25" customWidth="1"/>
    <col min="3326" max="3573" width="9" style="25"/>
    <col min="3574" max="3574" width="7.6640625" style="25" customWidth="1"/>
    <col min="3575" max="3575" width="12.5546875" style="25" customWidth="1"/>
    <col min="3576" max="3576" width="41.44140625" style="25" customWidth="1"/>
    <col min="3577" max="3577" width="13.6640625" style="25" customWidth="1"/>
    <col min="3578" max="3578" width="13.5546875" style="25" customWidth="1"/>
    <col min="3579" max="3579" width="13" style="25" customWidth="1"/>
    <col min="3580" max="3580" width="12.109375" style="25" customWidth="1"/>
    <col min="3581" max="3581" width="12.33203125" style="25" customWidth="1"/>
    <col min="3582" max="3829" width="9" style="25"/>
    <col min="3830" max="3830" width="7.6640625" style="25" customWidth="1"/>
    <col min="3831" max="3831" width="12.5546875" style="25" customWidth="1"/>
    <col min="3832" max="3832" width="41.44140625" style="25" customWidth="1"/>
    <col min="3833" max="3833" width="13.6640625" style="25" customWidth="1"/>
    <col min="3834" max="3834" width="13.5546875" style="25" customWidth="1"/>
    <col min="3835" max="3835" width="13" style="25" customWidth="1"/>
    <col min="3836" max="3836" width="12.109375" style="25" customWidth="1"/>
    <col min="3837" max="3837" width="12.33203125" style="25" customWidth="1"/>
    <col min="3838" max="4085" width="9" style="25"/>
    <col min="4086" max="4086" width="7.6640625" style="25" customWidth="1"/>
    <col min="4087" max="4087" width="12.5546875" style="25" customWidth="1"/>
    <col min="4088" max="4088" width="41.44140625" style="25" customWidth="1"/>
    <col min="4089" max="4089" width="13.6640625" style="25" customWidth="1"/>
    <col min="4090" max="4090" width="13.5546875" style="25" customWidth="1"/>
    <col min="4091" max="4091" width="13" style="25" customWidth="1"/>
    <col min="4092" max="4092" width="12.109375" style="25" customWidth="1"/>
    <col min="4093" max="4093" width="12.33203125" style="25" customWidth="1"/>
    <col min="4094" max="4341" width="9" style="25"/>
    <col min="4342" max="4342" width="7.6640625" style="25" customWidth="1"/>
    <col min="4343" max="4343" width="12.5546875" style="25" customWidth="1"/>
    <col min="4344" max="4344" width="41.44140625" style="25" customWidth="1"/>
    <col min="4345" max="4345" width="13.6640625" style="25" customWidth="1"/>
    <col min="4346" max="4346" width="13.5546875" style="25" customWidth="1"/>
    <col min="4347" max="4347" width="13" style="25" customWidth="1"/>
    <col min="4348" max="4348" width="12.109375" style="25" customWidth="1"/>
    <col min="4349" max="4349" width="12.33203125" style="25" customWidth="1"/>
    <col min="4350" max="4597" width="9" style="25"/>
    <col min="4598" max="4598" width="7.6640625" style="25" customWidth="1"/>
    <col min="4599" max="4599" width="12.5546875" style="25" customWidth="1"/>
    <col min="4600" max="4600" width="41.44140625" style="25" customWidth="1"/>
    <col min="4601" max="4601" width="13.6640625" style="25" customWidth="1"/>
    <col min="4602" max="4602" width="13.5546875" style="25" customWidth="1"/>
    <col min="4603" max="4603" width="13" style="25" customWidth="1"/>
    <col min="4604" max="4604" width="12.109375" style="25" customWidth="1"/>
    <col min="4605" max="4605" width="12.33203125" style="25" customWidth="1"/>
    <col min="4606" max="4853" width="9" style="25"/>
    <col min="4854" max="4854" width="7.6640625" style="25" customWidth="1"/>
    <col min="4855" max="4855" width="12.5546875" style="25" customWidth="1"/>
    <col min="4856" max="4856" width="41.44140625" style="25" customWidth="1"/>
    <col min="4857" max="4857" width="13.6640625" style="25" customWidth="1"/>
    <col min="4858" max="4858" width="13.5546875" style="25" customWidth="1"/>
    <col min="4859" max="4859" width="13" style="25" customWidth="1"/>
    <col min="4860" max="4860" width="12.109375" style="25" customWidth="1"/>
    <col min="4861" max="4861" width="12.33203125" style="25" customWidth="1"/>
    <col min="4862" max="5109" width="9" style="25"/>
    <col min="5110" max="5110" width="7.6640625" style="25" customWidth="1"/>
    <col min="5111" max="5111" width="12.5546875" style="25" customWidth="1"/>
    <col min="5112" max="5112" width="41.44140625" style="25" customWidth="1"/>
    <col min="5113" max="5113" width="13.6640625" style="25" customWidth="1"/>
    <col min="5114" max="5114" width="13.5546875" style="25" customWidth="1"/>
    <col min="5115" max="5115" width="13" style="25" customWidth="1"/>
    <col min="5116" max="5116" width="12.109375" style="25" customWidth="1"/>
    <col min="5117" max="5117" width="12.33203125" style="25" customWidth="1"/>
    <col min="5118" max="5365" width="9" style="25"/>
    <col min="5366" max="5366" width="7.6640625" style="25" customWidth="1"/>
    <col min="5367" max="5367" width="12.5546875" style="25" customWidth="1"/>
    <col min="5368" max="5368" width="41.44140625" style="25" customWidth="1"/>
    <col min="5369" max="5369" width="13.6640625" style="25" customWidth="1"/>
    <col min="5370" max="5370" width="13.5546875" style="25" customWidth="1"/>
    <col min="5371" max="5371" width="13" style="25" customWidth="1"/>
    <col min="5372" max="5372" width="12.109375" style="25" customWidth="1"/>
    <col min="5373" max="5373" width="12.33203125" style="25" customWidth="1"/>
    <col min="5374" max="5621" width="9" style="25"/>
    <col min="5622" max="5622" width="7.6640625" style="25" customWidth="1"/>
    <col min="5623" max="5623" width="12.5546875" style="25" customWidth="1"/>
    <col min="5624" max="5624" width="41.44140625" style="25" customWidth="1"/>
    <col min="5625" max="5625" width="13.6640625" style="25" customWidth="1"/>
    <col min="5626" max="5626" width="13.5546875" style="25" customWidth="1"/>
    <col min="5627" max="5627" width="13" style="25" customWidth="1"/>
    <col min="5628" max="5628" width="12.109375" style="25" customWidth="1"/>
    <col min="5629" max="5629" width="12.33203125" style="25" customWidth="1"/>
    <col min="5630" max="5877" width="9" style="25"/>
    <col min="5878" max="5878" width="7.6640625" style="25" customWidth="1"/>
    <col min="5879" max="5879" width="12.5546875" style="25" customWidth="1"/>
    <col min="5880" max="5880" width="41.44140625" style="25" customWidth="1"/>
    <col min="5881" max="5881" width="13.6640625" style="25" customWidth="1"/>
    <col min="5882" max="5882" width="13.5546875" style="25" customWidth="1"/>
    <col min="5883" max="5883" width="13" style="25" customWidth="1"/>
    <col min="5884" max="5884" width="12.109375" style="25" customWidth="1"/>
    <col min="5885" max="5885" width="12.33203125" style="25" customWidth="1"/>
    <col min="5886" max="6133" width="9" style="25"/>
    <col min="6134" max="6134" width="7.6640625" style="25" customWidth="1"/>
    <col min="6135" max="6135" width="12.5546875" style="25" customWidth="1"/>
    <col min="6136" max="6136" width="41.44140625" style="25" customWidth="1"/>
    <col min="6137" max="6137" width="13.6640625" style="25" customWidth="1"/>
    <col min="6138" max="6138" width="13.5546875" style="25" customWidth="1"/>
    <col min="6139" max="6139" width="13" style="25" customWidth="1"/>
    <col min="6140" max="6140" width="12.109375" style="25" customWidth="1"/>
    <col min="6141" max="6141" width="12.33203125" style="25" customWidth="1"/>
    <col min="6142" max="6389" width="9" style="25"/>
    <col min="6390" max="6390" width="7.6640625" style="25" customWidth="1"/>
    <col min="6391" max="6391" width="12.5546875" style="25" customWidth="1"/>
    <col min="6392" max="6392" width="41.44140625" style="25" customWidth="1"/>
    <col min="6393" max="6393" width="13.6640625" style="25" customWidth="1"/>
    <col min="6394" max="6394" width="13.5546875" style="25" customWidth="1"/>
    <col min="6395" max="6395" width="13" style="25" customWidth="1"/>
    <col min="6396" max="6396" width="12.109375" style="25" customWidth="1"/>
    <col min="6397" max="6397" width="12.33203125" style="25" customWidth="1"/>
    <col min="6398" max="6645" width="9" style="25"/>
    <col min="6646" max="6646" width="7.6640625" style="25" customWidth="1"/>
    <col min="6647" max="6647" width="12.5546875" style="25" customWidth="1"/>
    <col min="6648" max="6648" width="41.44140625" style="25" customWidth="1"/>
    <col min="6649" max="6649" width="13.6640625" style="25" customWidth="1"/>
    <col min="6650" max="6650" width="13.5546875" style="25" customWidth="1"/>
    <col min="6651" max="6651" width="13" style="25" customWidth="1"/>
    <col min="6652" max="6652" width="12.109375" style="25" customWidth="1"/>
    <col min="6653" max="6653" width="12.33203125" style="25" customWidth="1"/>
    <col min="6654" max="6901" width="9" style="25"/>
    <col min="6902" max="6902" width="7.6640625" style="25" customWidth="1"/>
    <col min="6903" max="6903" width="12.5546875" style="25" customWidth="1"/>
    <col min="6904" max="6904" width="41.44140625" style="25" customWidth="1"/>
    <col min="6905" max="6905" width="13.6640625" style="25" customWidth="1"/>
    <col min="6906" max="6906" width="13.5546875" style="25" customWidth="1"/>
    <col min="6907" max="6907" width="13" style="25" customWidth="1"/>
    <col min="6908" max="6908" width="12.109375" style="25" customWidth="1"/>
    <col min="6909" max="6909" width="12.33203125" style="25" customWidth="1"/>
    <col min="6910" max="7157" width="9" style="25"/>
    <col min="7158" max="7158" width="7.6640625" style="25" customWidth="1"/>
    <col min="7159" max="7159" width="12.5546875" style="25" customWidth="1"/>
    <col min="7160" max="7160" width="41.44140625" style="25" customWidth="1"/>
    <col min="7161" max="7161" width="13.6640625" style="25" customWidth="1"/>
    <col min="7162" max="7162" width="13.5546875" style="25" customWidth="1"/>
    <col min="7163" max="7163" width="13" style="25" customWidth="1"/>
    <col min="7164" max="7164" width="12.109375" style="25" customWidth="1"/>
    <col min="7165" max="7165" width="12.33203125" style="25" customWidth="1"/>
    <col min="7166" max="7413" width="9" style="25"/>
    <col min="7414" max="7414" width="7.6640625" style="25" customWidth="1"/>
    <col min="7415" max="7415" width="12.5546875" style="25" customWidth="1"/>
    <col min="7416" max="7416" width="41.44140625" style="25" customWidth="1"/>
    <col min="7417" max="7417" width="13.6640625" style="25" customWidth="1"/>
    <col min="7418" max="7418" width="13.5546875" style="25" customWidth="1"/>
    <col min="7419" max="7419" width="13" style="25" customWidth="1"/>
    <col min="7420" max="7420" width="12.109375" style="25" customWidth="1"/>
    <col min="7421" max="7421" width="12.33203125" style="25" customWidth="1"/>
    <col min="7422" max="7669" width="9" style="25"/>
    <col min="7670" max="7670" width="7.6640625" style="25" customWidth="1"/>
    <col min="7671" max="7671" width="12.5546875" style="25" customWidth="1"/>
    <col min="7672" max="7672" width="41.44140625" style="25" customWidth="1"/>
    <col min="7673" max="7673" width="13.6640625" style="25" customWidth="1"/>
    <col min="7674" max="7674" width="13.5546875" style="25" customWidth="1"/>
    <col min="7675" max="7675" width="13" style="25" customWidth="1"/>
    <col min="7676" max="7676" width="12.109375" style="25" customWidth="1"/>
    <col min="7677" max="7677" width="12.33203125" style="25" customWidth="1"/>
    <col min="7678" max="7925" width="9" style="25"/>
    <col min="7926" max="7926" width="7.6640625" style="25" customWidth="1"/>
    <col min="7927" max="7927" width="12.5546875" style="25" customWidth="1"/>
    <col min="7928" max="7928" width="41.44140625" style="25" customWidth="1"/>
    <col min="7929" max="7929" width="13.6640625" style="25" customWidth="1"/>
    <col min="7930" max="7930" width="13.5546875" style="25" customWidth="1"/>
    <col min="7931" max="7931" width="13" style="25" customWidth="1"/>
    <col min="7932" max="7932" width="12.109375" style="25" customWidth="1"/>
    <col min="7933" max="7933" width="12.33203125" style="25" customWidth="1"/>
    <col min="7934" max="8181" width="9" style="25"/>
    <col min="8182" max="8182" width="7.6640625" style="25" customWidth="1"/>
    <col min="8183" max="8183" width="12.5546875" style="25" customWidth="1"/>
    <col min="8184" max="8184" width="41.44140625" style="25" customWidth="1"/>
    <col min="8185" max="8185" width="13.6640625" style="25" customWidth="1"/>
    <col min="8186" max="8186" width="13.5546875" style="25" customWidth="1"/>
    <col min="8187" max="8187" width="13" style="25" customWidth="1"/>
    <col min="8188" max="8188" width="12.109375" style="25" customWidth="1"/>
    <col min="8189" max="8189" width="12.33203125" style="25" customWidth="1"/>
    <col min="8190" max="8437" width="9" style="25"/>
    <col min="8438" max="8438" width="7.6640625" style="25" customWidth="1"/>
    <col min="8439" max="8439" width="12.5546875" style="25" customWidth="1"/>
    <col min="8440" max="8440" width="41.44140625" style="25" customWidth="1"/>
    <col min="8441" max="8441" width="13.6640625" style="25" customWidth="1"/>
    <col min="8442" max="8442" width="13.5546875" style="25" customWidth="1"/>
    <col min="8443" max="8443" width="13" style="25" customWidth="1"/>
    <col min="8444" max="8444" width="12.109375" style="25" customWidth="1"/>
    <col min="8445" max="8445" width="12.33203125" style="25" customWidth="1"/>
    <col min="8446" max="8693" width="9" style="25"/>
    <col min="8694" max="8694" width="7.6640625" style="25" customWidth="1"/>
    <col min="8695" max="8695" width="12.5546875" style="25" customWidth="1"/>
    <col min="8696" max="8696" width="41.44140625" style="25" customWidth="1"/>
    <col min="8697" max="8697" width="13.6640625" style="25" customWidth="1"/>
    <col min="8698" max="8698" width="13.5546875" style="25" customWidth="1"/>
    <col min="8699" max="8699" width="13" style="25" customWidth="1"/>
    <col min="8700" max="8700" width="12.109375" style="25" customWidth="1"/>
    <col min="8701" max="8701" width="12.33203125" style="25" customWidth="1"/>
    <col min="8702" max="8949" width="9" style="25"/>
    <col min="8950" max="8950" width="7.6640625" style="25" customWidth="1"/>
    <col min="8951" max="8951" width="12.5546875" style="25" customWidth="1"/>
    <col min="8952" max="8952" width="41.44140625" style="25" customWidth="1"/>
    <col min="8953" max="8953" width="13.6640625" style="25" customWidth="1"/>
    <col min="8954" max="8954" width="13.5546875" style="25" customWidth="1"/>
    <col min="8955" max="8955" width="13" style="25" customWidth="1"/>
    <col min="8956" max="8956" width="12.109375" style="25" customWidth="1"/>
    <col min="8957" max="8957" width="12.33203125" style="25" customWidth="1"/>
    <col min="8958" max="9205" width="9" style="25"/>
    <col min="9206" max="9206" width="7.6640625" style="25" customWidth="1"/>
    <col min="9207" max="9207" width="12.5546875" style="25" customWidth="1"/>
    <col min="9208" max="9208" width="41.44140625" style="25" customWidth="1"/>
    <col min="9209" max="9209" width="13.6640625" style="25" customWidth="1"/>
    <col min="9210" max="9210" width="13.5546875" style="25" customWidth="1"/>
    <col min="9211" max="9211" width="13" style="25" customWidth="1"/>
    <col min="9212" max="9212" width="12.109375" style="25" customWidth="1"/>
    <col min="9213" max="9213" width="12.33203125" style="25" customWidth="1"/>
    <col min="9214" max="9461" width="9" style="25"/>
    <col min="9462" max="9462" width="7.6640625" style="25" customWidth="1"/>
    <col min="9463" max="9463" width="12.5546875" style="25" customWidth="1"/>
    <col min="9464" max="9464" width="41.44140625" style="25" customWidth="1"/>
    <col min="9465" max="9465" width="13.6640625" style="25" customWidth="1"/>
    <col min="9466" max="9466" width="13.5546875" style="25" customWidth="1"/>
    <col min="9467" max="9467" width="13" style="25" customWidth="1"/>
    <col min="9468" max="9468" width="12.109375" style="25" customWidth="1"/>
    <col min="9469" max="9469" width="12.33203125" style="25" customWidth="1"/>
    <col min="9470" max="9717" width="9" style="25"/>
    <col min="9718" max="9718" width="7.6640625" style="25" customWidth="1"/>
    <col min="9719" max="9719" width="12.5546875" style="25" customWidth="1"/>
    <col min="9720" max="9720" width="41.44140625" style="25" customWidth="1"/>
    <col min="9721" max="9721" width="13.6640625" style="25" customWidth="1"/>
    <col min="9722" max="9722" width="13.5546875" style="25" customWidth="1"/>
    <col min="9723" max="9723" width="13" style="25" customWidth="1"/>
    <col min="9724" max="9724" width="12.109375" style="25" customWidth="1"/>
    <col min="9725" max="9725" width="12.33203125" style="25" customWidth="1"/>
    <col min="9726" max="9973" width="9" style="25"/>
    <col min="9974" max="9974" width="7.6640625" style="25" customWidth="1"/>
    <col min="9975" max="9975" width="12.5546875" style="25" customWidth="1"/>
    <col min="9976" max="9976" width="41.44140625" style="25" customWidth="1"/>
    <col min="9977" max="9977" width="13.6640625" style="25" customWidth="1"/>
    <col min="9978" max="9978" width="13.5546875" style="25" customWidth="1"/>
    <col min="9979" max="9979" width="13" style="25" customWidth="1"/>
    <col min="9980" max="9980" width="12.109375" style="25" customWidth="1"/>
    <col min="9981" max="9981" width="12.33203125" style="25" customWidth="1"/>
    <col min="9982" max="10229" width="9" style="25"/>
    <col min="10230" max="10230" width="7.6640625" style="25" customWidth="1"/>
    <col min="10231" max="10231" width="12.5546875" style="25" customWidth="1"/>
    <col min="10232" max="10232" width="41.44140625" style="25" customWidth="1"/>
    <col min="10233" max="10233" width="13.6640625" style="25" customWidth="1"/>
    <col min="10234" max="10234" width="13.5546875" style="25" customWidth="1"/>
    <col min="10235" max="10235" width="13" style="25" customWidth="1"/>
    <col min="10236" max="10236" width="12.109375" style="25" customWidth="1"/>
    <col min="10237" max="10237" width="12.33203125" style="25" customWidth="1"/>
    <col min="10238" max="10485" width="9" style="25"/>
    <col min="10486" max="10486" width="7.6640625" style="25" customWidth="1"/>
    <col min="10487" max="10487" width="12.5546875" style="25" customWidth="1"/>
    <col min="10488" max="10488" width="41.44140625" style="25" customWidth="1"/>
    <col min="10489" max="10489" width="13.6640625" style="25" customWidth="1"/>
    <col min="10490" max="10490" width="13.5546875" style="25" customWidth="1"/>
    <col min="10491" max="10491" width="13" style="25" customWidth="1"/>
    <col min="10492" max="10492" width="12.109375" style="25" customWidth="1"/>
    <col min="10493" max="10493" width="12.33203125" style="25" customWidth="1"/>
    <col min="10494" max="10741" width="9" style="25"/>
    <col min="10742" max="10742" width="7.6640625" style="25" customWidth="1"/>
    <col min="10743" max="10743" width="12.5546875" style="25" customWidth="1"/>
    <col min="10744" max="10744" width="41.44140625" style="25" customWidth="1"/>
    <col min="10745" max="10745" width="13.6640625" style="25" customWidth="1"/>
    <col min="10746" max="10746" width="13.5546875" style="25" customWidth="1"/>
    <col min="10747" max="10747" width="13" style="25" customWidth="1"/>
    <col min="10748" max="10748" width="12.109375" style="25" customWidth="1"/>
    <col min="10749" max="10749" width="12.33203125" style="25" customWidth="1"/>
    <col min="10750" max="10997" width="9" style="25"/>
    <col min="10998" max="10998" width="7.6640625" style="25" customWidth="1"/>
    <col min="10999" max="10999" width="12.5546875" style="25" customWidth="1"/>
    <col min="11000" max="11000" width="41.44140625" style="25" customWidth="1"/>
    <col min="11001" max="11001" width="13.6640625" style="25" customWidth="1"/>
    <col min="11002" max="11002" width="13.5546875" style="25" customWidth="1"/>
    <col min="11003" max="11003" width="13" style="25" customWidth="1"/>
    <col min="11004" max="11004" width="12.109375" style="25" customWidth="1"/>
    <col min="11005" max="11005" width="12.33203125" style="25" customWidth="1"/>
    <col min="11006" max="11253" width="9" style="25"/>
    <col min="11254" max="11254" width="7.6640625" style="25" customWidth="1"/>
    <col min="11255" max="11255" width="12.5546875" style="25" customWidth="1"/>
    <col min="11256" max="11256" width="41.44140625" style="25" customWidth="1"/>
    <col min="11257" max="11257" width="13.6640625" style="25" customWidth="1"/>
    <col min="11258" max="11258" width="13.5546875" style="25" customWidth="1"/>
    <col min="11259" max="11259" width="13" style="25" customWidth="1"/>
    <col min="11260" max="11260" width="12.109375" style="25" customWidth="1"/>
    <col min="11261" max="11261" width="12.33203125" style="25" customWidth="1"/>
    <col min="11262" max="11509" width="9" style="25"/>
    <col min="11510" max="11510" width="7.6640625" style="25" customWidth="1"/>
    <col min="11511" max="11511" width="12.5546875" style="25" customWidth="1"/>
    <col min="11512" max="11512" width="41.44140625" style="25" customWidth="1"/>
    <col min="11513" max="11513" width="13.6640625" style="25" customWidth="1"/>
    <col min="11514" max="11514" width="13.5546875" style="25" customWidth="1"/>
    <col min="11515" max="11515" width="13" style="25" customWidth="1"/>
    <col min="11516" max="11516" width="12.109375" style="25" customWidth="1"/>
    <col min="11517" max="11517" width="12.33203125" style="25" customWidth="1"/>
    <col min="11518" max="11765" width="9" style="25"/>
    <col min="11766" max="11766" width="7.6640625" style="25" customWidth="1"/>
    <col min="11767" max="11767" width="12.5546875" style="25" customWidth="1"/>
    <col min="11768" max="11768" width="41.44140625" style="25" customWidth="1"/>
    <col min="11769" max="11769" width="13.6640625" style="25" customWidth="1"/>
    <col min="11770" max="11770" width="13.5546875" style="25" customWidth="1"/>
    <col min="11771" max="11771" width="13" style="25" customWidth="1"/>
    <col min="11772" max="11772" width="12.109375" style="25" customWidth="1"/>
    <col min="11773" max="11773" width="12.33203125" style="25" customWidth="1"/>
    <col min="11774" max="12021" width="9" style="25"/>
    <col min="12022" max="12022" width="7.6640625" style="25" customWidth="1"/>
    <col min="12023" max="12023" width="12.5546875" style="25" customWidth="1"/>
    <col min="12024" max="12024" width="41.44140625" style="25" customWidth="1"/>
    <col min="12025" max="12025" width="13.6640625" style="25" customWidth="1"/>
    <col min="12026" max="12026" width="13.5546875" style="25" customWidth="1"/>
    <col min="12027" max="12027" width="13" style="25" customWidth="1"/>
    <col min="12028" max="12028" width="12.109375" style="25" customWidth="1"/>
    <col min="12029" max="12029" width="12.33203125" style="25" customWidth="1"/>
    <col min="12030" max="12277" width="9" style="25"/>
    <col min="12278" max="12278" width="7.6640625" style="25" customWidth="1"/>
    <col min="12279" max="12279" width="12.5546875" style="25" customWidth="1"/>
    <col min="12280" max="12280" width="41.44140625" style="25" customWidth="1"/>
    <col min="12281" max="12281" width="13.6640625" style="25" customWidth="1"/>
    <col min="12282" max="12282" width="13.5546875" style="25" customWidth="1"/>
    <col min="12283" max="12283" width="13" style="25" customWidth="1"/>
    <col min="12284" max="12284" width="12.109375" style="25" customWidth="1"/>
    <col min="12285" max="12285" width="12.33203125" style="25" customWidth="1"/>
    <col min="12286" max="12533" width="9" style="25"/>
    <col min="12534" max="12534" width="7.6640625" style="25" customWidth="1"/>
    <col min="12535" max="12535" width="12.5546875" style="25" customWidth="1"/>
    <col min="12536" max="12536" width="41.44140625" style="25" customWidth="1"/>
    <col min="12537" max="12537" width="13.6640625" style="25" customWidth="1"/>
    <col min="12538" max="12538" width="13.5546875" style="25" customWidth="1"/>
    <col min="12539" max="12539" width="13" style="25" customWidth="1"/>
    <col min="12540" max="12540" width="12.109375" style="25" customWidth="1"/>
    <col min="12541" max="12541" width="12.33203125" style="25" customWidth="1"/>
    <col min="12542" max="12789" width="9" style="25"/>
    <col min="12790" max="12790" width="7.6640625" style="25" customWidth="1"/>
    <col min="12791" max="12791" width="12.5546875" style="25" customWidth="1"/>
    <col min="12792" max="12792" width="41.44140625" style="25" customWidth="1"/>
    <col min="12793" max="12793" width="13.6640625" style="25" customWidth="1"/>
    <col min="12794" max="12794" width="13.5546875" style="25" customWidth="1"/>
    <col min="12795" max="12795" width="13" style="25" customWidth="1"/>
    <col min="12796" max="12796" width="12.109375" style="25" customWidth="1"/>
    <col min="12797" max="12797" width="12.33203125" style="25" customWidth="1"/>
    <col min="12798" max="13045" width="9" style="25"/>
    <col min="13046" max="13046" width="7.6640625" style="25" customWidth="1"/>
    <col min="13047" max="13047" width="12.5546875" style="25" customWidth="1"/>
    <col min="13048" max="13048" width="41.44140625" style="25" customWidth="1"/>
    <col min="13049" max="13049" width="13.6640625" style="25" customWidth="1"/>
    <col min="13050" max="13050" width="13.5546875" style="25" customWidth="1"/>
    <col min="13051" max="13051" width="13" style="25" customWidth="1"/>
    <col min="13052" max="13052" width="12.109375" style="25" customWidth="1"/>
    <col min="13053" max="13053" width="12.33203125" style="25" customWidth="1"/>
    <col min="13054" max="13301" width="9" style="25"/>
    <col min="13302" max="13302" width="7.6640625" style="25" customWidth="1"/>
    <col min="13303" max="13303" width="12.5546875" style="25" customWidth="1"/>
    <col min="13304" max="13304" width="41.44140625" style="25" customWidth="1"/>
    <col min="13305" max="13305" width="13.6640625" style="25" customWidth="1"/>
    <col min="13306" max="13306" width="13.5546875" style="25" customWidth="1"/>
    <col min="13307" max="13307" width="13" style="25" customWidth="1"/>
    <col min="13308" max="13308" width="12.109375" style="25" customWidth="1"/>
    <col min="13309" max="13309" width="12.33203125" style="25" customWidth="1"/>
    <col min="13310" max="13557" width="9" style="25"/>
    <col min="13558" max="13558" width="7.6640625" style="25" customWidth="1"/>
    <col min="13559" max="13559" width="12.5546875" style="25" customWidth="1"/>
    <col min="13560" max="13560" width="41.44140625" style="25" customWidth="1"/>
    <col min="13561" max="13561" width="13.6640625" style="25" customWidth="1"/>
    <col min="13562" max="13562" width="13.5546875" style="25" customWidth="1"/>
    <col min="13563" max="13563" width="13" style="25" customWidth="1"/>
    <col min="13564" max="13564" width="12.109375" style="25" customWidth="1"/>
    <col min="13565" max="13565" width="12.33203125" style="25" customWidth="1"/>
    <col min="13566" max="13813" width="9" style="25"/>
    <col min="13814" max="13814" width="7.6640625" style="25" customWidth="1"/>
    <col min="13815" max="13815" width="12.5546875" style="25" customWidth="1"/>
    <col min="13816" max="13816" width="41.44140625" style="25" customWidth="1"/>
    <col min="13817" max="13817" width="13.6640625" style="25" customWidth="1"/>
    <col min="13818" max="13818" width="13.5546875" style="25" customWidth="1"/>
    <col min="13819" max="13819" width="13" style="25" customWidth="1"/>
    <col min="13820" max="13820" width="12.109375" style="25" customWidth="1"/>
    <col min="13821" max="13821" width="12.33203125" style="25" customWidth="1"/>
    <col min="13822" max="14069" width="9" style="25"/>
    <col min="14070" max="14070" width="7.6640625" style="25" customWidth="1"/>
    <col min="14071" max="14071" width="12.5546875" style="25" customWidth="1"/>
    <col min="14072" max="14072" width="41.44140625" style="25" customWidth="1"/>
    <col min="14073" max="14073" width="13.6640625" style="25" customWidth="1"/>
    <col min="14074" max="14074" width="13.5546875" style="25" customWidth="1"/>
    <col min="14075" max="14075" width="13" style="25" customWidth="1"/>
    <col min="14076" max="14076" width="12.109375" style="25" customWidth="1"/>
    <col min="14077" max="14077" width="12.33203125" style="25" customWidth="1"/>
    <col min="14078" max="14325" width="9" style="25"/>
    <col min="14326" max="14326" width="7.6640625" style="25" customWidth="1"/>
    <col min="14327" max="14327" width="12.5546875" style="25" customWidth="1"/>
    <col min="14328" max="14328" width="41.44140625" style="25" customWidth="1"/>
    <col min="14329" max="14329" width="13.6640625" style="25" customWidth="1"/>
    <col min="14330" max="14330" width="13.5546875" style="25" customWidth="1"/>
    <col min="14331" max="14331" width="13" style="25" customWidth="1"/>
    <col min="14332" max="14332" width="12.109375" style="25" customWidth="1"/>
    <col min="14333" max="14333" width="12.33203125" style="25" customWidth="1"/>
    <col min="14334" max="14581" width="9" style="25"/>
    <col min="14582" max="14582" width="7.6640625" style="25" customWidth="1"/>
    <col min="14583" max="14583" width="12.5546875" style="25" customWidth="1"/>
    <col min="14584" max="14584" width="41.44140625" style="25" customWidth="1"/>
    <col min="14585" max="14585" width="13.6640625" style="25" customWidth="1"/>
    <col min="14586" max="14586" width="13.5546875" style="25" customWidth="1"/>
    <col min="14587" max="14587" width="13" style="25" customWidth="1"/>
    <col min="14588" max="14588" width="12.109375" style="25" customWidth="1"/>
    <col min="14589" max="14589" width="12.33203125" style="25" customWidth="1"/>
    <col min="14590" max="14837" width="9" style="25"/>
    <col min="14838" max="14838" width="7.6640625" style="25" customWidth="1"/>
    <col min="14839" max="14839" width="12.5546875" style="25" customWidth="1"/>
    <col min="14840" max="14840" width="41.44140625" style="25" customWidth="1"/>
    <col min="14841" max="14841" width="13.6640625" style="25" customWidth="1"/>
    <col min="14842" max="14842" width="13.5546875" style="25" customWidth="1"/>
    <col min="14843" max="14843" width="13" style="25" customWidth="1"/>
    <col min="14844" max="14844" width="12.109375" style="25" customWidth="1"/>
    <col min="14845" max="14845" width="12.33203125" style="25" customWidth="1"/>
    <col min="14846" max="15093" width="9" style="25"/>
    <col min="15094" max="15094" width="7.6640625" style="25" customWidth="1"/>
    <col min="15095" max="15095" width="12.5546875" style="25" customWidth="1"/>
    <col min="15096" max="15096" width="41.44140625" style="25" customWidth="1"/>
    <col min="15097" max="15097" width="13.6640625" style="25" customWidth="1"/>
    <col min="15098" max="15098" width="13.5546875" style="25" customWidth="1"/>
    <col min="15099" max="15099" width="13" style="25" customWidth="1"/>
    <col min="15100" max="15100" width="12.109375" style="25" customWidth="1"/>
    <col min="15101" max="15101" width="12.33203125" style="25" customWidth="1"/>
    <col min="15102" max="15349" width="9" style="25"/>
    <col min="15350" max="15350" width="7.6640625" style="25" customWidth="1"/>
    <col min="15351" max="15351" width="12.5546875" style="25" customWidth="1"/>
    <col min="15352" max="15352" width="41.44140625" style="25" customWidth="1"/>
    <col min="15353" max="15353" width="13.6640625" style="25" customWidth="1"/>
    <col min="15354" max="15354" width="13.5546875" style="25" customWidth="1"/>
    <col min="15355" max="15355" width="13" style="25" customWidth="1"/>
    <col min="15356" max="15356" width="12.109375" style="25" customWidth="1"/>
    <col min="15357" max="15357" width="12.33203125" style="25" customWidth="1"/>
    <col min="15358" max="15605" width="9" style="25"/>
    <col min="15606" max="15606" width="7.6640625" style="25" customWidth="1"/>
    <col min="15607" max="15607" width="12.5546875" style="25" customWidth="1"/>
    <col min="15608" max="15608" width="41.44140625" style="25" customWidth="1"/>
    <col min="15609" max="15609" width="13.6640625" style="25" customWidth="1"/>
    <col min="15610" max="15610" width="13.5546875" style="25" customWidth="1"/>
    <col min="15611" max="15611" width="13" style="25" customWidth="1"/>
    <col min="15612" max="15612" width="12.109375" style="25" customWidth="1"/>
    <col min="15613" max="15613" width="12.33203125" style="25" customWidth="1"/>
    <col min="15614" max="15861" width="9" style="25"/>
    <col min="15862" max="15862" width="7.6640625" style="25" customWidth="1"/>
    <col min="15863" max="15863" width="12.5546875" style="25" customWidth="1"/>
    <col min="15864" max="15864" width="41.44140625" style="25" customWidth="1"/>
    <col min="15865" max="15865" width="13.6640625" style="25" customWidth="1"/>
    <col min="15866" max="15866" width="13.5546875" style="25" customWidth="1"/>
    <col min="15867" max="15867" width="13" style="25" customWidth="1"/>
    <col min="15868" max="15868" width="12.109375" style="25" customWidth="1"/>
    <col min="15869" max="15869" width="12.33203125" style="25" customWidth="1"/>
    <col min="15870" max="16117" width="9" style="25"/>
    <col min="16118" max="16118" width="7.6640625" style="25" customWidth="1"/>
    <col min="16119" max="16119" width="12.5546875" style="25" customWidth="1"/>
    <col min="16120" max="16120" width="41.44140625" style="25" customWidth="1"/>
    <col min="16121" max="16121" width="13.6640625" style="25" customWidth="1"/>
    <col min="16122" max="16122" width="13.5546875" style="25" customWidth="1"/>
    <col min="16123" max="16123" width="13" style="25" customWidth="1"/>
    <col min="16124" max="16124" width="12.109375" style="25" customWidth="1"/>
    <col min="16125" max="16125" width="12.33203125" style="25" customWidth="1"/>
    <col min="16126" max="16384" width="9" style="25"/>
  </cols>
  <sheetData>
    <row r="1" spans="1:13" ht="17.399999999999999">
      <c r="A1" s="1155" t="s">
        <v>164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</row>
    <row r="2" spans="1:13" s="21" customFormat="1" ht="16.5" customHeight="1">
      <c r="A2" s="1156" t="s">
        <v>347</v>
      </c>
      <c r="B2" s="1156"/>
      <c r="C2" s="1156"/>
      <c r="D2" s="1156"/>
      <c r="E2" s="26"/>
      <c r="F2" s="26"/>
      <c r="G2" s="26"/>
      <c r="H2" s="26"/>
    </row>
    <row r="3" spans="1:13" s="21" customFormat="1" ht="16.5" customHeight="1">
      <c r="A3" s="949"/>
      <c r="B3" s="949"/>
      <c r="C3" s="949"/>
      <c r="D3" s="949"/>
      <c r="E3" s="26"/>
      <c r="F3" s="26"/>
      <c r="G3" s="26"/>
      <c r="H3" s="26"/>
    </row>
    <row r="4" spans="1:13" ht="17.399999999999999">
      <c r="A4" s="1157" t="s">
        <v>416</v>
      </c>
      <c r="B4" s="1157"/>
      <c r="C4" s="1157"/>
      <c r="D4" s="1157"/>
      <c r="E4" s="1157"/>
      <c r="F4" s="1157"/>
      <c r="G4" s="1157"/>
      <c r="H4" s="1157"/>
    </row>
    <row r="5" spans="1:13">
      <c r="C5" s="23"/>
      <c r="E5" s="23"/>
      <c r="F5" s="23"/>
      <c r="G5" s="23"/>
    </row>
    <row r="6" spans="1:13">
      <c r="D6" s="1158" t="s">
        <v>25</v>
      </c>
      <c r="E6" s="1158"/>
      <c r="F6" s="1158"/>
      <c r="G6" s="27">
        <f>H23</f>
        <v>0</v>
      </c>
      <c r="H6" s="28" t="s">
        <v>2</v>
      </c>
    </row>
    <row r="7" spans="1:13">
      <c r="D7" s="29"/>
      <c r="E7" s="29"/>
      <c r="F7" s="29"/>
      <c r="G7" s="30"/>
      <c r="H7" s="31"/>
    </row>
    <row r="8" spans="1:13" ht="26.25" customHeight="1">
      <c r="A8" s="1159" t="s">
        <v>26</v>
      </c>
      <c r="B8" s="1160" t="s">
        <v>14</v>
      </c>
      <c r="C8" s="1161" t="s">
        <v>27</v>
      </c>
      <c r="D8" s="1162" t="s">
        <v>15</v>
      </c>
      <c r="E8" s="1162"/>
      <c r="F8" s="1162"/>
      <c r="G8" s="1162"/>
      <c r="H8" s="1162"/>
    </row>
    <row r="9" spans="1:13" ht="60">
      <c r="A9" s="1159"/>
      <c r="B9" s="1160"/>
      <c r="C9" s="1161"/>
      <c r="D9" s="950" t="s">
        <v>17</v>
      </c>
      <c r="E9" s="950" t="s">
        <v>28</v>
      </c>
      <c r="F9" s="950" t="s">
        <v>19</v>
      </c>
      <c r="G9" s="950" t="s">
        <v>20</v>
      </c>
      <c r="H9" s="950" t="s">
        <v>16</v>
      </c>
    </row>
    <row r="10" spans="1:13">
      <c r="A10" s="32">
        <v>1</v>
      </c>
      <c r="B10" s="298">
        <v>2</v>
      </c>
      <c r="C10" s="34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</row>
    <row r="11" spans="1:13" ht="28.95" customHeight="1">
      <c r="A11" s="951">
        <v>1</v>
      </c>
      <c r="B11" s="952" t="s">
        <v>356</v>
      </c>
      <c r="C11" s="35" t="s">
        <v>29</v>
      </c>
      <c r="D11" s="36">
        <f>'2-1-სამ -ორხევი'!L326</f>
        <v>0</v>
      </c>
      <c r="E11" s="37"/>
      <c r="F11" s="37"/>
      <c r="G11" s="37"/>
      <c r="H11" s="37">
        <f>G11+F11+E11+D11</f>
        <v>0</v>
      </c>
    </row>
    <row r="12" spans="1:13" ht="28.95" customHeight="1">
      <c r="A12" s="951">
        <v>2</v>
      </c>
      <c r="B12" s="952" t="s">
        <v>357</v>
      </c>
      <c r="C12" s="35" t="s">
        <v>344</v>
      </c>
      <c r="D12" s="37">
        <f>'2-2-წკ'!L74</f>
        <v>0</v>
      </c>
      <c r="E12" s="37"/>
      <c r="F12" s="37"/>
      <c r="G12" s="37"/>
      <c r="H12" s="37">
        <f>G12+F12+E12+D12</f>
        <v>0</v>
      </c>
    </row>
    <row r="13" spans="1:13" ht="28.95" customHeight="1">
      <c r="A13" s="951">
        <v>3</v>
      </c>
      <c r="B13" s="952" t="s">
        <v>358</v>
      </c>
      <c r="C13" s="35" t="s">
        <v>345</v>
      </c>
      <c r="D13" s="37">
        <f>'2-3-გარე ქსელები '!L69</f>
        <v>0</v>
      </c>
      <c r="E13" s="37"/>
      <c r="F13" s="37"/>
      <c r="G13" s="37"/>
      <c r="H13" s="37">
        <f>G13+F13+E13+D13</f>
        <v>0</v>
      </c>
    </row>
    <row r="14" spans="1:13" ht="28.95" customHeight="1">
      <c r="A14" s="951">
        <v>4</v>
      </c>
      <c r="B14" s="952" t="s">
        <v>359</v>
      </c>
      <c r="C14" s="35" t="s">
        <v>30</v>
      </c>
      <c r="D14" s="37">
        <f>'2-4 ელ'!L78</f>
        <v>0</v>
      </c>
      <c r="E14" s="37">
        <f>'2-4 ელ'!L79</f>
        <v>0</v>
      </c>
      <c r="F14" s="37"/>
      <c r="G14" s="37"/>
      <c r="H14" s="996">
        <f t="shared" ref="H14:H16" si="0">G14+F14+E14+D14</f>
        <v>0</v>
      </c>
    </row>
    <row r="15" spans="1:13" ht="28.95" customHeight="1">
      <c r="A15" s="951">
        <v>5</v>
      </c>
      <c r="B15" s="952" t="s">
        <v>360</v>
      </c>
      <c r="C15" s="77" t="s">
        <v>31</v>
      </c>
      <c r="D15" s="37">
        <f>'2-5-ვკ '!L57</f>
        <v>0</v>
      </c>
      <c r="E15" s="37"/>
      <c r="F15" s="37"/>
      <c r="G15" s="37"/>
      <c r="H15" s="37">
        <f t="shared" si="0"/>
        <v>0</v>
      </c>
    </row>
    <row r="16" spans="1:13" ht="28.95" customHeight="1">
      <c r="A16" s="1011">
        <v>6</v>
      </c>
      <c r="B16" s="1006" t="s">
        <v>353</v>
      </c>
      <c r="C16" s="1012" t="s">
        <v>352</v>
      </c>
      <c r="D16" s="1013">
        <f>'2-6-ეზო -ორხევი '!L286</f>
        <v>0</v>
      </c>
      <c r="E16" s="1013"/>
      <c r="F16" s="1013"/>
      <c r="G16" s="1013"/>
      <c r="H16" s="37">
        <f t="shared" si="0"/>
        <v>0</v>
      </c>
    </row>
    <row r="17" spans="1:8" s="22" customFormat="1" ht="25.95" customHeight="1">
      <c r="A17" s="14"/>
      <c r="B17" s="299"/>
      <c r="C17" s="78" t="s">
        <v>21</v>
      </c>
      <c r="D17" s="79">
        <f>SUM(D11:D16)</f>
        <v>0</v>
      </c>
      <c r="E17" s="79">
        <f>SUM(E11:E16)</f>
        <v>0</v>
      </c>
      <c r="F17" s="79">
        <f>SUM(F11:F15)</f>
        <v>0</v>
      </c>
      <c r="G17" s="79"/>
      <c r="H17" s="79">
        <f>SUM(H11:H16)</f>
        <v>0</v>
      </c>
    </row>
    <row r="18" spans="1:8" s="80" customFormat="1" ht="31.8" customHeight="1">
      <c r="A18" s="101">
        <v>7</v>
      </c>
      <c r="B18" s="106"/>
      <c r="C18" s="107" t="s">
        <v>407</v>
      </c>
      <c r="D18" s="104"/>
      <c r="E18" s="104"/>
      <c r="F18" s="104"/>
      <c r="G18" s="104"/>
      <c r="H18" s="104">
        <f>H17*0.015</f>
        <v>0</v>
      </c>
    </row>
    <row r="19" spans="1:8" s="22" customFormat="1" ht="23.4" customHeight="1">
      <c r="A19" s="14"/>
      <c r="B19" s="299"/>
      <c r="C19" s="78" t="s">
        <v>21</v>
      </c>
      <c r="D19" s="79"/>
      <c r="E19" s="79"/>
      <c r="F19" s="79"/>
      <c r="G19" s="79"/>
      <c r="H19" s="79">
        <f>SUM(H17:H18)</f>
        <v>0</v>
      </c>
    </row>
    <row r="20" spans="1:8" s="81" customFormat="1" ht="23.4" customHeight="1">
      <c r="A20" s="1003">
        <v>8</v>
      </c>
      <c r="B20" s="106"/>
      <c r="C20" s="107" t="s">
        <v>23</v>
      </c>
      <c r="D20" s="102"/>
      <c r="E20" s="102"/>
      <c r="F20" s="102"/>
      <c r="G20" s="102"/>
      <c r="H20" s="102">
        <f>H19*0.05</f>
        <v>0</v>
      </c>
    </row>
    <row r="21" spans="1:8" s="22" customFormat="1" ht="23.4" customHeight="1">
      <c r="A21" s="14"/>
      <c r="B21" s="299"/>
      <c r="C21" s="78" t="s">
        <v>21</v>
      </c>
      <c r="D21" s="79"/>
      <c r="E21" s="79"/>
      <c r="F21" s="79"/>
      <c r="G21" s="79"/>
      <c r="H21" s="79">
        <f>SUM(H19:H20)</f>
        <v>0</v>
      </c>
    </row>
    <row r="22" spans="1:8" s="81" customFormat="1" ht="23.4" customHeight="1">
      <c r="A22" s="1003">
        <v>9</v>
      </c>
      <c r="B22" s="1003"/>
      <c r="C22" s="107" t="s">
        <v>24</v>
      </c>
      <c r="D22" s="102"/>
      <c r="E22" s="102"/>
      <c r="F22" s="102"/>
      <c r="G22" s="102"/>
      <c r="H22" s="102">
        <f>G22</f>
        <v>0</v>
      </c>
    </row>
    <row r="23" spans="1:8" s="81" customFormat="1" ht="23.4" customHeight="1">
      <c r="A23" s="1003"/>
      <c r="B23" s="1003"/>
      <c r="C23" s="105" t="s">
        <v>22</v>
      </c>
      <c r="D23" s="103"/>
      <c r="E23" s="103"/>
      <c r="F23" s="103"/>
      <c r="G23" s="103"/>
      <c r="H23" s="103">
        <f>H22+H21</f>
        <v>0</v>
      </c>
    </row>
    <row r="45" ht="28.95" customHeight="1"/>
    <row r="76" ht="32.4" customHeight="1"/>
    <row r="171" ht="36.6" customHeight="1"/>
    <row r="178" ht="42.6" customHeight="1"/>
    <row r="185" ht="39.6" customHeight="1"/>
    <row r="476" spans="3:3">
      <c r="C476" s="24" t="s">
        <v>162</v>
      </c>
    </row>
  </sheetData>
  <mergeCells count="8">
    <mergeCell ref="A1:M1"/>
    <mergeCell ref="A2:D2"/>
    <mergeCell ref="A4:H4"/>
    <mergeCell ref="D6:F6"/>
    <mergeCell ref="A8:A9"/>
    <mergeCell ref="B8:B9"/>
    <mergeCell ref="C8:C9"/>
    <mergeCell ref="D8:H8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Q356"/>
  <sheetViews>
    <sheetView topLeftCell="A254" zoomScale="103" zoomScaleNormal="103" zoomScaleSheetLayoutView="100" workbookViewId="0">
      <pane xSplit="15996" topLeftCell="N1"/>
      <selection activeCell="K194" sqref="K194:K202"/>
      <selection pane="topRight" activeCell="M959" sqref="M959"/>
    </sheetView>
  </sheetViews>
  <sheetFormatPr defaultColWidth="9.109375" defaultRowHeight="15"/>
  <cols>
    <col min="1" max="1" width="5" style="62" customWidth="1"/>
    <col min="2" max="2" width="35.44140625" style="19" customWidth="1"/>
    <col min="3" max="3" width="8.44140625" style="51" customWidth="1"/>
    <col min="4" max="4" width="8.5546875" style="190" customWidth="1"/>
    <col min="5" max="5" width="8.6640625" style="190" customWidth="1"/>
    <col min="6" max="6" width="8.88671875" style="191" customWidth="1"/>
    <col min="7" max="7" width="10.44140625" style="191" customWidth="1"/>
    <col min="8" max="8" width="7.33203125" style="191" customWidth="1"/>
    <col min="9" max="9" width="9.33203125" style="191" customWidth="1"/>
    <col min="10" max="10" width="7.88671875" style="263" customWidth="1"/>
    <col min="11" max="11" width="9" style="191" customWidth="1"/>
    <col min="12" max="12" width="10.44140625" style="191" customWidth="1"/>
    <col min="13" max="16384" width="9.109375" style="251"/>
  </cols>
  <sheetData>
    <row r="1" spans="1:13" s="359" customFormat="1" ht="28.5" customHeight="1">
      <c r="A1" s="108"/>
      <c r="B1" s="1163" t="s">
        <v>355</v>
      </c>
      <c r="C1" s="1163"/>
      <c r="D1" s="1164"/>
      <c r="E1" s="1164"/>
      <c r="F1" s="1164"/>
      <c r="G1" s="1164"/>
      <c r="H1" s="1164"/>
      <c r="I1" s="1164"/>
      <c r="J1" s="1165"/>
      <c r="K1" s="109"/>
      <c r="L1" s="109"/>
    </row>
    <row r="2" spans="1:13" s="359" customFormat="1">
      <c r="A2" s="108"/>
      <c r="B2" s="1166" t="s">
        <v>29</v>
      </c>
      <c r="C2" s="1166"/>
      <c r="D2" s="1167"/>
      <c r="E2" s="1167"/>
      <c r="F2" s="1167"/>
      <c r="G2" s="1167"/>
      <c r="H2" s="1167"/>
      <c r="I2" s="1167"/>
      <c r="J2" s="263"/>
      <c r="K2" s="109"/>
      <c r="L2" s="109"/>
    </row>
    <row r="3" spans="1:13" s="276" customFormat="1" ht="15" customHeight="1">
      <c r="A3" s="108"/>
      <c r="B3" s="48"/>
      <c r="C3" s="65"/>
      <c r="D3" s="109"/>
      <c r="E3" s="109"/>
      <c r="F3" s="109"/>
      <c r="G3" s="109"/>
      <c r="H3" s="109"/>
      <c r="I3" s="109"/>
      <c r="J3" s="273"/>
      <c r="K3" s="109"/>
      <c r="L3" s="109"/>
    </row>
    <row r="4" spans="1:13" s="248" customFormat="1" ht="31.5" customHeight="1">
      <c r="A4" s="1170" t="s">
        <v>13</v>
      </c>
      <c r="B4" s="1170" t="s">
        <v>27</v>
      </c>
      <c r="C4" s="1170" t="s">
        <v>161</v>
      </c>
      <c r="D4" s="1171" t="s">
        <v>33</v>
      </c>
      <c r="E4" s="1172"/>
      <c r="F4" s="1168" t="s">
        <v>34</v>
      </c>
      <c r="G4" s="1168"/>
      <c r="H4" s="1168" t="s">
        <v>35</v>
      </c>
      <c r="I4" s="1168"/>
      <c r="J4" s="1169" t="s">
        <v>36</v>
      </c>
      <c r="K4" s="1168"/>
      <c r="L4" s="1173" t="s">
        <v>37</v>
      </c>
    </row>
    <row r="5" spans="1:13" s="248" customFormat="1" ht="38.4" customHeight="1">
      <c r="A5" s="1170"/>
      <c r="B5" s="1170"/>
      <c r="C5" s="1170"/>
      <c r="D5" s="355" t="s">
        <v>38</v>
      </c>
      <c r="E5" s="355" t="s">
        <v>97</v>
      </c>
      <c r="F5" s="355" t="s">
        <v>39</v>
      </c>
      <c r="G5" s="355" t="s">
        <v>40</v>
      </c>
      <c r="H5" s="355" t="s">
        <v>39</v>
      </c>
      <c r="I5" s="355" t="s">
        <v>40</v>
      </c>
      <c r="J5" s="356" t="s">
        <v>39</v>
      </c>
      <c r="K5" s="355" t="s">
        <v>40</v>
      </c>
      <c r="L5" s="1174"/>
    </row>
    <row r="6" spans="1:13" s="248" customFormat="1" ht="21" customHeight="1">
      <c r="A6" s="110">
        <v>1</v>
      </c>
      <c r="B6" s="110">
        <v>2</v>
      </c>
      <c r="C6" s="111">
        <v>3</v>
      </c>
      <c r="D6" s="112">
        <v>4</v>
      </c>
      <c r="E6" s="112">
        <v>5</v>
      </c>
      <c r="F6" s="112">
        <v>6</v>
      </c>
      <c r="G6" s="112">
        <v>7</v>
      </c>
      <c r="H6" s="112">
        <v>8</v>
      </c>
      <c r="I6" s="112">
        <v>9</v>
      </c>
      <c r="J6" s="274">
        <v>10</v>
      </c>
      <c r="K6" s="112">
        <v>11</v>
      </c>
      <c r="L6" s="112">
        <v>12</v>
      </c>
    </row>
    <row r="7" spans="1:13">
      <c r="A7" s="111"/>
      <c r="B7" s="419" t="s">
        <v>166</v>
      </c>
      <c r="C7" s="354"/>
      <c r="D7" s="114"/>
      <c r="E7" s="114"/>
      <c r="F7" s="114"/>
      <c r="G7" s="115"/>
      <c r="H7" s="114"/>
      <c r="I7" s="114"/>
      <c r="J7" s="114"/>
      <c r="K7" s="114"/>
      <c r="L7" s="114"/>
    </row>
    <row r="8" spans="1:13">
      <c r="A8" s="374"/>
      <c r="B8" s="426" t="s">
        <v>182</v>
      </c>
      <c r="C8" s="360"/>
      <c r="D8" s="427"/>
      <c r="E8" s="427"/>
      <c r="F8" s="427"/>
      <c r="G8" s="428"/>
      <c r="H8" s="427"/>
      <c r="I8" s="427"/>
      <c r="J8" s="427"/>
      <c r="K8" s="427"/>
      <c r="L8" s="427"/>
    </row>
    <row r="9" spans="1:13" s="200" customFormat="1" ht="38.4" customHeight="1">
      <c r="A9" s="309">
        <v>1</v>
      </c>
      <c r="B9" s="310" t="s">
        <v>176</v>
      </c>
      <c r="C9" s="311" t="s">
        <v>151</v>
      </c>
      <c r="D9" s="312"/>
      <c r="E9" s="313">
        <f>4.9*2.8</f>
        <v>13.72</v>
      </c>
      <c r="F9" s="312"/>
      <c r="G9" s="313"/>
      <c r="H9" s="312"/>
      <c r="I9" s="312"/>
      <c r="J9" s="312"/>
      <c r="K9" s="312"/>
      <c r="L9" s="312"/>
    </row>
    <row r="10" spans="1:13" s="200" customFormat="1">
      <c r="A10" s="720"/>
      <c r="B10" s="117" t="s">
        <v>42</v>
      </c>
      <c r="C10" s="720" t="s">
        <v>43</v>
      </c>
      <c r="D10" s="119">
        <f>0.6*2.72</f>
        <v>1.6320000000000001</v>
      </c>
      <c r="E10" s="120">
        <f>D10*E9</f>
        <v>22.391040000000004</v>
      </c>
      <c r="F10" s="121"/>
      <c r="G10" s="611"/>
      <c r="H10" s="121"/>
      <c r="I10" s="70">
        <f>H10*E10</f>
        <v>0</v>
      </c>
      <c r="J10" s="121"/>
      <c r="K10" s="121"/>
      <c r="L10" s="70">
        <f>K10+I10+G10</f>
        <v>0</v>
      </c>
      <c r="M10" s="277"/>
    </row>
    <row r="11" spans="1:13" s="200" customFormat="1" ht="38.4" customHeight="1">
      <c r="A11" s="309">
        <v>2</v>
      </c>
      <c r="B11" s="310" t="s">
        <v>177</v>
      </c>
      <c r="C11" s="311" t="s">
        <v>151</v>
      </c>
      <c r="D11" s="312"/>
      <c r="E11" s="313">
        <f>0.75*1</f>
        <v>0.75</v>
      </c>
      <c r="F11" s="312"/>
      <c r="G11" s="313"/>
      <c r="H11" s="312"/>
      <c r="I11" s="312"/>
      <c r="J11" s="312"/>
      <c r="K11" s="312"/>
      <c r="L11" s="312"/>
    </row>
    <row r="12" spans="1:13" s="200" customFormat="1">
      <c r="A12" s="720"/>
      <c r="B12" s="117" t="s">
        <v>42</v>
      </c>
      <c r="C12" s="720" t="s">
        <v>43</v>
      </c>
      <c r="D12" s="119">
        <f>0.6*2.72</f>
        <v>1.6320000000000001</v>
      </c>
      <c r="E12" s="120">
        <f>D12*E11</f>
        <v>1.2240000000000002</v>
      </c>
      <c r="F12" s="121"/>
      <c r="G12" s="611"/>
      <c r="H12" s="121"/>
      <c r="I12" s="70">
        <f>H12*E12</f>
        <v>0</v>
      </c>
      <c r="J12" s="121"/>
      <c r="K12" s="121"/>
      <c r="L12" s="70">
        <f>K12+I12+G12</f>
        <v>0</v>
      </c>
      <c r="M12" s="277"/>
    </row>
    <row r="13" spans="1:13" s="199" customFormat="1" ht="30">
      <c r="A13" s="311">
        <v>3</v>
      </c>
      <c r="B13" s="314" t="s">
        <v>181</v>
      </c>
      <c r="C13" s="311" t="s">
        <v>151</v>
      </c>
      <c r="D13" s="315"/>
      <c r="E13" s="316">
        <f>0.83*2.1</f>
        <v>1.7429999999999999</v>
      </c>
      <c r="F13" s="317"/>
      <c r="G13" s="318"/>
      <c r="H13" s="317"/>
      <c r="I13" s="318"/>
      <c r="J13" s="317"/>
      <c r="K13" s="318"/>
      <c r="L13" s="318"/>
      <c r="M13" s="319"/>
    </row>
    <row r="14" spans="1:13" s="200" customFormat="1">
      <c r="A14" s="720"/>
      <c r="B14" s="117" t="s">
        <v>42</v>
      </c>
      <c r="C14" s="720" t="s">
        <v>43</v>
      </c>
      <c r="D14" s="119">
        <f>0.6*2.72</f>
        <v>1.6320000000000001</v>
      </c>
      <c r="E14" s="120">
        <f>D14*E13</f>
        <v>2.844576</v>
      </c>
      <c r="F14" s="121"/>
      <c r="G14" s="611"/>
      <c r="H14" s="121"/>
      <c r="I14" s="70">
        <f>H14*E14</f>
        <v>0</v>
      </c>
      <c r="J14" s="121"/>
      <c r="K14" s="121"/>
      <c r="L14" s="70">
        <f>K14+I14+G14</f>
        <v>0</v>
      </c>
      <c r="M14" s="277"/>
    </row>
    <row r="15" spans="1:13" s="200" customFormat="1" ht="44.4" customHeight="1">
      <c r="A15" s="309">
        <v>4</v>
      </c>
      <c r="B15" s="310" t="s">
        <v>183</v>
      </c>
      <c r="C15" s="311" t="s">
        <v>148</v>
      </c>
      <c r="D15" s="312"/>
      <c r="E15" s="313">
        <f>0.9*2.2*0.2</f>
        <v>0.39600000000000007</v>
      </c>
      <c r="F15" s="312"/>
      <c r="G15" s="313"/>
      <c r="H15" s="312"/>
      <c r="I15" s="312"/>
      <c r="J15" s="312"/>
      <c r="K15" s="312"/>
      <c r="L15" s="312"/>
    </row>
    <row r="16" spans="1:13" s="200" customFormat="1">
      <c r="A16" s="720"/>
      <c r="B16" s="117" t="s">
        <v>42</v>
      </c>
      <c r="C16" s="720" t="s">
        <v>43</v>
      </c>
      <c r="D16" s="119">
        <v>8.89</v>
      </c>
      <c r="E16" s="120">
        <f>D16*E15</f>
        <v>3.5204400000000007</v>
      </c>
      <c r="F16" s="121"/>
      <c r="G16" s="611"/>
      <c r="H16" s="121"/>
      <c r="I16" s="70">
        <f>H16*E16</f>
        <v>0</v>
      </c>
      <c r="J16" s="121"/>
      <c r="K16" s="121"/>
      <c r="L16" s="70">
        <f>K16+I16+G16</f>
        <v>0</v>
      </c>
      <c r="M16" s="277"/>
    </row>
    <row r="17" spans="1:15" s="6" customFormat="1" ht="16.2">
      <c r="A17" s="720"/>
      <c r="B17" s="117" t="s">
        <v>49</v>
      </c>
      <c r="C17" s="720" t="s">
        <v>2</v>
      </c>
      <c r="D17" s="611">
        <v>2.61</v>
      </c>
      <c r="E17" s="121">
        <f>D17*E15</f>
        <v>1.03356</v>
      </c>
      <c r="F17" s="121"/>
      <c r="G17" s="70"/>
      <c r="H17" s="121"/>
      <c r="I17" s="70"/>
      <c r="J17" s="121"/>
      <c r="K17" s="70">
        <f>J17*E17</f>
        <v>0</v>
      </c>
      <c r="L17" s="123">
        <f>K17+I17+G17</f>
        <v>0</v>
      </c>
      <c r="M17" s="277"/>
      <c r="N17" s="244"/>
      <c r="O17" s="244"/>
    </row>
    <row r="18" spans="1:15" s="199" customFormat="1" ht="30">
      <c r="A18" s="311">
        <v>5</v>
      </c>
      <c r="B18" s="314" t="s">
        <v>384</v>
      </c>
      <c r="C18" s="311" t="s">
        <v>151</v>
      </c>
      <c r="D18" s="315"/>
      <c r="E18" s="316">
        <v>12.9</v>
      </c>
      <c r="F18" s="317"/>
      <c r="G18" s="318"/>
      <c r="H18" s="317"/>
      <c r="I18" s="318"/>
      <c r="J18" s="317"/>
      <c r="K18" s="318"/>
      <c r="L18" s="318"/>
      <c r="M18" s="319"/>
    </row>
    <row r="19" spans="1:15" s="200" customFormat="1">
      <c r="A19" s="720"/>
      <c r="B19" s="117" t="s">
        <v>42</v>
      </c>
      <c r="C19" s="720" t="s">
        <v>43</v>
      </c>
      <c r="D19" s="119">
        <v>0.32300000000000001</v>
      </c>
      <c r="E19" s="120">
        <f>D19*E18</f>
        <v>4.1667000000000005</v>
      </c>
      <c r="F19" s="121"/>
      <c r="G19" s="611"/>
      <c r="H19" s="121"/>
      <c r="I19" s="70">
        <f>H19*E19</f>
        <v>0</v>
      </c>
      <c r="J19" s="121"/>
      <c r="K19" s="121"/>
      <c r="L19" s="70">
        <f>K19+I19+G19</f>
        <v>0</v>
      </c>
      <c r="M19" s="277"/>
    </row>
    <row r="20" spans="1:15" s="6" customFormat="1" ht="16.2">
      <c r="A20" s="720"/>
      <c r="B20" s="117" t="s">
        <v>49</v>
      </c>
      <c r="C20" s="720" t="s">
        <v>2</v>
      </c>
      <c r="D20" s="611">
        <v>2.1499999999999998E-2</v>
      </c>
      <c r="E20" s="121">
        <f>D20*E18</f>
        <v>0.27734999999999999</v>
      </c>
      <c r="F20" s="121"/>
      <c r="G20" s="70"/>
      <c r="H20" s="121"/>
      <c r="I20" s="70"/>
      <c r="J20" s="121"/>
      <c r="K20" s="70">
        <f>J20*E20</f>
        <v>0</v>
      </c>
      <c r="L20" s="123">
        <f>K20+I20+G20</f>
        <v>0</v>
      </c>
      <c r="M20" s="277"/>
      <c r="N20" s="244"/>
      <c r="O20" s="244"/>
    </row>
    <row r="21" spans="1:15" s="278" customFormat="1" ht="17.399999999999999">
      <c r="A21" s="301">
        <v>6</v>
      </c>
      <c r="B21" s="320" t="s">
        <v>178</v>
      </c>
      <c r="C21" s="311" t="s">
        <v>151</v>
      </c>
      <c r="D21" s="301"/>
      <c r="E21" s="317">
        <v>12.9</v>
      </c>
      <c r="F21" s="317"/>
      <c r="G21" s="318"/>
      <c r="H21" s="317"/>
      <c r="I21" s="318"/>
      <c r="J21" s="317"/>
      <c r="K21" s="318"/>
      <c r="L21" s="318"/>
      <c r="M21" s="277"/>
    </row>
    <row r="22" spans="1:15" s="200" customFormat="1">
      <c r="A22" s="720"/>
      <c r="B22" s="117" t="s">
        <v>42</v>
      </c>
      <c r="C22" s="720" t="s">
        <v>43</v>
      </c>
      <c r="D22" s="119">
        <v>1.1120000000000001</v>
      </c>
      <c r="E22" s="120">
        <f>D22*E21</f>
        <v>14.344800000000001</v>
      </c>
      <c r="F22" s="121"/>
      <c r="G22" s="611"/>
      <c r="H22" s="121"/>
      <c r="I22" s="70">
        <f>H22*E22</f>
        <v>0</v>
      </c>
      <c r="J22" s="121"/>
      <c r="K22" s="121"/>
      <c r="L22" s="70">
        <f>K22+I22+G22</f>
        <v>0</v>
      </c>
      <c r="M22" s="277"/>
    </row>
    <row r="23" spans="1:15" s="200" customFormat="1">
      <c r="A23" s="637"/>
      <c r="B23" s="907" t="s">
        <v>328</v>
      </c>
      <c r="C23" s="637" t="s">
        <v>44</v>
      </c>
      <c r="D23" s="928">
        <v>0.38400000000000001</v>
      </c>
      <c r="E23" s="929">
        <f>D23*E21</f>
        <v>4.9536000000000007</v>
      </c>
      <c r="F23" s="840"/>
      <c r="G23" s="908"/>
      <c r="H23" s="840"/>
      <c r="I23" s="615"/>
      <c r="J23" s="840"/>
      <c r="K23" s="70">
        <f>J23*E23</f>
        <v>0</v>
      </c>
      <c r="L23" s="123">
        <f>K23+I23+G23</f>
        <v>0</v>
      </c>
      <c r="M23" s="277"/>
    </row>
    <row r="24" spans="1:15" s="200" customFormat="1">
      <c r="A24" s="637"/>
      <c r="B24" s="907" t="s">
        <v>329</v>
      </c>
      <c r="C24" s="637" t="s">
        <v>44</v>
      </c>
      <c r="D24" s="928">
        <v>0.38400000000000001</v>
      </c>
      <c r="E24" s="929">
        <f>D24*E21</f>
        <v>4.9536000000000007</v>
      </c>
      <c r="F24" s="840"/>
      <c r="G24" s="908"/>
      <c r="H24" s="840"/>
      <c r="I24" s="615"/>
      <c r="J24" s="840"/>
      <c r="K24" s="70">
        <f>J24*E24</f>
        <v>0</v>
      </c>
      <c r="L24" s="123">
        <f>K24+I24+G24</f>
        <v>0</v>
      </c>
      <c r="M24" s="277"/>
    </row>
    <row r="25" spans="1:15" s="199" customFormat="1" ht="30">
      <c r="A25" s="311">
        <v>7</v>
      </c>
      <c r="B25" s="314" t="s">
        <v>179</v>
      </c>
      <c r="C25" s="311" t="s">
        <v>151</v>
      </c>
      <c r="D25" s="315"/>
      <c r="E25" s="316">
        <v>2.1</v>
      </c>
      <c r="F25" s="317"/>
      <c r="G25" s="318"/>
      <c r="H25" s="317"/>
      <c r="I25" s="318"/>
      <c r="J25" s="317"/>
      <c r="K25" s="318"/>
      <c r="L25" s="318"/>
      <c r="M25" s="319"/>
    </row>
    <row r="26" spans="1:15" s="200" customFormat="1">
      <c r="A26" s="720"/>
      <c r="B26" s="117" t="s">
        <v>42</v>
      </c>
      <c r="C26" s="720" t="s">
        <v>43</v>
      </c>
      <c r="D26" s="119">
        <v>0.32300000000000001</v>
      </c>
      <c r="E26" s="120">
        <f>D26*E25</f>
        <v>0.67830000000000001</v>
      </c>
      <c r="F26" s="121"/>
      <c r="G26" s="611"/>
      <c r="H26" s="121"/>
      <c r="I26" s="70">
        <f>H26*E26</f>
        <v>0</v>
      </c>
      <c r="J26" s="121"/>
      <c r="K26" s="121"/>
      <c r="L26" s="70">
        <f>K26+I26+G26</f>
        <v>0</v>
      </c>
      <c r="M26" s="277"/>
    </row>
    <row r="27" spans="1:15" s="6" customFormat="1" ht="16.2">
      <c r="A27" s="720"/>
      <c r="B27" s="117" t="s">
        <v>49</v>
      </c>
      <c r="C27" s="720" t="s">
        <v>2</v>
      </c>
      <c r="D27" s="611">
        <v>2.1499999999999998E-2</v>
      </c>
      <c r="E27" s="121">
        <f>D27*E25</f>
        <v>4.5149999999999996E-2</v>
      </c>
      <c r="F27" s="121"/>
      <c r="G27" s="70"/>
      <c r="H27" s="121"/>
      <c r="I27" s="70"/>
      <c r="J27" s="121"/>
      <c r="K27" s="70">
        <f>J27*E27</f>
        <v>0</v>
      </c>
      <c r="L27" s="123">
        <f>K27+I27+G27</f>
        <v>0</v>
      </c>
      <c r="M27" s="277"/>
      <c r="N27" s="244"/>
      <c r="O27" s="244"/>
    </row>
    <row r="28" spans="1:15" s="278" customFormat="1" ht="30">
      <c r="A28" s="301">
        <v>8</v>
      </c>
      <c r="B28" s="320" t="s">
        <v>180</v>
      </c>
      <c r="C28" s="311" t="s">
        <v>151</v>
      </c>
      <c r="D28" s="301"/>
      <c r="E28" s="317">
        <v>2.1</v>
      </c>
      <c r="F28" s="317"/>
      <c r="G28" s="318"/>
      <c r="H28" s="317"/>
      <c r="I28" s="318"/>
      <c r="J28" s="317"/>
      <c r="K28" s="318"/>
      <c r="L28" s="318"/>
      <c r="M28" s="277"/>
    </row>
    <row r="29" spans="1:15" s="200" customFormat="1">
      <c r="A29" s="720"/>
      <c r="B29" s="117" t="s">
        <v>42</v>
      </c>
      <c r="C29" s="720" t="s">
        <v>43</v>
      </c>
      <c r="D29" s="119">
        <v>1.1120000000000001</v>
      </c>
      <c r="E29" s="120">
        <f>D29*E28</f>
        <v>2.3352000000000004</v>
      </c>
      <c r="F29" s="121"/>
      <c r="G29" s="611"/>
      <c r="H29" s="121"/>
      <c r="I29" s="70">
        <f>H29*E29</f>
        <v>0</v>
      </c>
      <c r="J29" s="121"/>
      <c r="K29" s="121"/>
      <c r="L29" s="70">
        <f>K29+I29+G29</f>
        <v>0</v>
      </c>
      <c r="M29" s="277"/>
    </row>
    <row r="30" spans="1:15" s="200" customFormat="1">
      <c r="A30" s="637"/>
      <c r="B30" s="907" t="s">
        <v>328</v>
      </c>
      <c r="C30" s="637" t="s">
        <v>44</v>
      </c>
      <c r="D30" s="928">
        <v>0.38400000000000001</v>
      </c>
      <c r="E30" s="929">
        <f>D30*E28</f>
        <v>0.80640000000000001</v>
      </c>
      <c r="F30" s="840"/>
      <c r="G30" s="908"/>
      <c r="H30" s="840"/>
      <c r="I30" s="615"/>
      <c r="J30" s="840"/>
      <c r="K30" s="70">
        <f>J30*E30</f>
        <v>0</v>
      </c>
      <c r="L30" s="123">
        <f>K30+I30+G30</f>
        <v>0</v>
      </c>
      <c r="M30" s="277"/>
    </row>
    <row r="31" spans="1:15" s="200" customFormat="1">
      <c r="A31" s="637"/>
      <c r="B31" s="907" t="s">
        <v>329</v>
      </c>
      <c r="C31" s="637" t="s">
        <v>44</v>
      </c>
      <c r="D31" s="928">
        <v>0.38400000000000001</v>
      </c>
      <c r="E31" s="929">
        <f>D31*E28</f>
        <v>0.80640000000000001</v>
      </c>
      <c r="F31" s="840"/>
      <c r="G31" s="908"/>
      <c r="H31" s="840"/>
      <c r="I31" s="615"/>
      <c r="J31" s="840"/>
      <c r="K31" s="70">
        <f>J31*E31</f>
        <v>0</v>
      </c>
      <c r="L31" s="123">
        <f>K31+I31+G31</f>
        <v>0</v>
      </c>
      <c r="M31" s="277"/>
    </row>
    <row r="32" spans="1:15" s="278" customFormat="1" ht="30">
      <c r="A32" s="301">
        <v>9</v>
      </c>
      <c r="B32" s="320" t="s">
        <v>432</v>
      </c>
      <c r="C32" s="311" t="s">
        <v>151</v>
      </c>
      <c r="D32" s="301"/>
      <c r="E32" s="317">
        <v>55.7</v>
      </c>
      <c r="F32" s="317"/>
      <c r="G32" s="318"/>
      <c r="H32" s="317"/>
      <c r="I32" s="318"/>
      <c r="J32" s="317"/>
      <c r="K32" s="318"/>
      <c r="L32" s="318"/>
      <c r="M32" s="277"/>
    </row>
    <row r="33" spans="1:15" s="200" customFormat="1">
      <c r="A33" s="720"/>
      <c r="B33" s="117" t="s">
        <v>42</v>
      </c>
      <c r="C33" s="720" t="s">
        <v>43</v>
      </c>
      <c r="D33" s="119">
        <v>0.186</v>
      </c>
      <c r="E33" s="120">
        <f>D33*E32</f>
        <v>10.360200000000001</v>
      </c>
      <c r="F33" s="121"/>
      <c r="G33" s="611"/>
      <c r="H33" s="121"/>
      <c r="I33" s="70">
        <f>H33*E33</f>
        <v>0</v>
      </c>
      <c r="J33" s="121"/>
      <c r="K33" s="121"/>
      <c r="L33" s="70">
        <f>K33+I33+G33</f>
        <v>0</v>
      </c>
      <c r="M33" s="277"/>
    </row>
    <row r="34" spans="1:15" s="6" customFormat="1" ht="16.2">
      <c r="A34" s="720"/>
      <c r="B34" s="117" t="s">
        <v>49</v>
      </c>
      <c r="C34" s="720" t="s">
        <v>2</v>
      </c>
      <c r="D34" s="611">
        <v>1.6000000000000001E-3</v>
      </c>
      <c r="E34" s="121">
        <f>D34*E32</f>
        <v>8.9120000000000005E-2</v>
      </c>
      <c r="F34" s="121"/>
      <c r="G34" s="70"/>
      <c r="H34" s="121"/>
      <c r="I34" s="70"/>
      <c r="J34" s="121"/>
      <c r="K34" s="70">
        <f>J34*E34</f>
        <v>0</v>
      </c>
      <c r="L34" s="123">
        <f>K34+I34+G34</f>
        <v>0</v>
      </c>
      <c r="M34" s="277"/>
      <c r="N34" s="244"/>
      <c r="O34" s="244"/>
    </row>
    <row r="35" spans="1:15" s="6" customFormat="1" ht="30">
      <c r="A35" s="750">
        <v>10</v>
      </c>
      <c r="B35" s="810" t="s">
        <v>424</v>
      </c>
      <c r="C35" s="311" t="s">
        <v>151</v>
      </c>
      <c r="D35" s="1091"/>
      <c r="E35" s="948">
        <v>28.9</v>
      </c>
      <c r="F35" s="1092"/>
      <c r="G35" s="1093"/>
      <c r="H35" s="1092"/>
      <c r="I35" s="1093"/>
      <c r="J35" s="1092"/>
      <c r="K35" s="1093"/>
      <c r="L35" s="1094"/>
      <c r="M35" s="277"/>
      <c r="N35" s="244"/>
      <c r="O35" s="244"/>
    </row>
    <row r="36" spans="1:15" s="12" customFormat="1" ht="17.399999999999999">
      <c r="A36" s="1076"/>
      <c r="B36" s="117" t="s">
        <v>42</v>
      </c>
      <c r="C36" s="1076" t="s">
        <v>142</v>
      </c>
      <c r="D36" s="611">
        <v>1</v>
      </c>
      <c r="E36" s="120">
        <f>D36*E35</f>
        <v>28.9</v>
      </c>
      <c r="F36" s="121"/>
      <c r="G36" s="70"/>
      <c r="H36" s="121"/>
      <c r="I36" s="70">
        <f>H36*E36</f>
        <v>0</v>
      </c>
      <c r="J36" s="121"/>
      <c r="K36" s="70"/>
      <c r="L36" s="70">
        <f>K36+I36+G36</f>
        <v>0</v>
      </c>
      <c r="M36" s="192"/>
      <c r="N36" s="192"/>
      <c r="O36" s="192"/>
    </row>
    <row r="37" spans="1:15" s="278" customFormat="1" ht="30">
      <c r="A37" s="301">
        <v>11</v>
      </c>
      <c r="B37" s="320" t="s">
        <v>433</v>
      </c>
      <c r="C37" s="311" t="s">
        <v>151</v>
      </c>
      <c r="D37" s="301"/>
      <c r="E37" s="317">
        <v>23.1</v>
      </c>
      <c r="F37" s="317"/>
      <c r="G37" s="318"/>
      <c r="H37" s="317"/>
      <c r="I37" s="318"/>
      <c r="J37" s="317"/>
      <c r="K37" s="318"/>
      <c r="L37" s="318"/>
      <c r="M37" s="277"/>
    </row>
    <row r="38" spans="1:15" s="200" customFormat="1">
      <c r="A38" s="720"/>
      <c r="B38" s="117" t="s">
        <v>42</v>
      </c>
      <c r="C38" s="720" t="s">
        <v>43</v>
      </c>
      <c r="D38" s="119">
        <v>0.186</v>
      </c>
      <c r="E38" s="120">
        <f>D38*E37</f>
        <v>4.2966000000000006</v>
      </c>
      <c r="F38" s="121"/>
      <c r="G38" s="611"/>
      <c r="H38" s="121"/>
      <c r="I38" s="70">
        <f>H38*E38</f>
        <v>0</v>
      </c>
      <c r="J38" s="121"/>
      <c r="K38" s="121"/>
      <c r="L38" s="70">
        <f>K38+I38+G38</f>
        <v>0</v>
      </c>
      <c r="M38" s="277"/>
    </row>
    <row r="39" spans="1:15" s="6" customFormat="1" ht="16.2">
      <c r="A39" s="720"/>
      <c r="B39" s="117" t="s">
        <v>49</v>
      </c>
      <c r="C39" s="720" t="s">
        <v>2</v>
      </c>
      <c r="D39" s="611">
        <v>1.6000000000000001E-3</v>
      </c>
      <c r="E39" s="121">
        <f>D39*E37</f>
        <v>3.6960000000000007E-2</v>
      </c>
      <c r="F39" s="121"/>
      <c r="G39" s="70"/>
      <c r="H39" s="121"/>
      <c r="I39" s="70"/>
      <c r="J39" s="121"/>
      <c r="K39" s="70">
        <f>J39*E39</f>
        <v>0</v>
      </c>
      <c r="L39" s="123">
        <f>K39+I39+G39</f>
        <v>0</v>
      </c>
      <c r="M39" s="277"/>
      <c r="N39" s="244"/>
      <c r="O39" s="244"/>
    </row>
    <row r="40" spans="1:15" s="199" customFormat="1" ht="30">
      <c r="A40" s="311">
        <v>12</v>
      </c>
      <c r="B40" s="314" t="s">
        <v>167</v>
      </c>
      <c r="C40" s="311" t="s">
        <v>151</v>
      </c>
      <c r="D40" s="315"/>
      <c r="E40" s="316">
        <v>26.5</v>
      </c>
      <c r="F40" s="317"/>
      <c r="G40" s="318"/>
      <c r="H40" s="317"/>
      <c r="I40" s="318"/>
      <c r="J40" s="317"/>
      <c r="K40" s="318"/>
      <c r="L40" s="318"/>
      <c r="M40" s="319"/>
    </row>
    <row r="41" spans="1:15" s="200" customFormat="1">
      <c r="A41" s="720"/>
      <c r="B41" s="117" t="s">
        <v>42</v>
      </c>
      <c r="C41" s="720" t="s">
        <v>43</v>
      </c>
      <c r="D41" s="119">
        <v>8.2000000000000003E-2</v>
      </c>
      <c r="E41" s="120">
        <f>D41*E40</f>
        <v>2.173</v>
      </c>
      <c r="F41" s="121"/>
      <c r="G41" s="611"/>
      <c r="H41" s="121"/>
      <c r="I41" s="70">
        <f>H41*E41</f>
        <v>0</v>
      </c>
      <c r="J41" s="121"/>
      <c r="K41" s="121"/>
      <c r="L41" s="70">
        <f>K41+I41+G41</f>
        <v>0</v>
      </c>
      <c r="M41" s="277"/>
    </row>
    <row r="42" spans="1:15" s="6" customFormat="1" ht="16.2">
      <c r="A42" s="720"/>
      <c r="B42" s="117" t="s">
        <v>49</v>
      </c>
      <c r="C42" s="720" t="s">
        <v>2</v>
      </c>
      <c r="D42" s="611">
        <v>5.0000000000000001E-3</v>
      </c>
      <c r="E42" s="121">
        <f>D42*E37</f>
        <v>0.11550000000000001</v>
      </c>
      <c r="F42" s="121"/>
      <c r="G42" s="70"/>
      <c r="H42" s="121"/>
      <c r="I42" s="70"/>
      <c r="J42" s="121"/>
      <c r="K42" s="70">
        <f>J42*E42</f>
        <v>0</v>
      </c>
      <c r="L42" s="123">
        <f>K42+I42+G42</f>
        <v>0</v>
      </c>
      <c r="M42" s="277"/>
      <c r="N42" s="244"/>
      <c r="O42" s="244"/>
    </row>
    <row r="43" spans="1:15" s="199" customFormat="1" ht="30">
      <c r="A43" s="311">
        <v>13</v>
      </c>
      <c r="B43" s="314" t="s">
        <v>333</v>
      </c>
      <c r="C43" s="311" t="s">
        <v>151</v>
      </c>
      <c r="D43" s="315"/>
      <c r="E43" s="316">
        <v>10.7</v>
      </c>
      <c r="F43" s="317"/>
      <c r="G43" s="318"/>
      <c r="H43" s="317"/>
      <c r="I43" s="318"/>
      <c r="J43" s="317"/>
      <c r="K43" s="318"/>
      <c r="L43" s="318"/>
      <c r="M43" s="319"/>
    </row>
    <row r="44" spans="1:15" s="200" customFormat="1">
      <c r="A44" s="1015"/>
      <c r="B44" s="117" t="s">
        <v>42</v>
      </c>
      <c r="C44" s="1015" t="s">
        <v>43</v>
      </c>
      <c r="D44" s="119">
        <f>0.6*1.36</f>
        <v>0.81600000000000006</v>
      </c>
      <c r="E44" s="120">
        <f>D44*E43</f>
        <v>8.7311999999999994</v>
      </c>
      <c r="F44" s="121"/>
      <c r="G44" s="611"/>
      <c r="H44" s="121"/>
      <c r="I44" s="70">
        <f>H44*E44</f>
        <v>0</v>
      </c>
      <c r="J44" s="121"/>
      <c r="K44" s="121"/>
      <c r="L44" s="70">
        <f>K44+I44+G44</f>
        <v>0</v>
      </c>
      <c r="M44" s="277"/>
    </row>
    <row r="45" spans="1:15" s="6" customFormat="1" ht="16.2">
      <c r="A45" s="1015"/>
      <c r="B45" s="117" t="s">
        <v>49</v>
      </c>
      <c r="C45" s="1015" t="s">
        <v>2</v>
      </c>
      <c r="D45" s="611">
        <f>0.7*0.0408</f>
        <v>2.8559999999999999E-2</v>
      </c>
      <c r="E45" s="121">
        <f>D45*E43</f>
        <v>0.30559199999999997</v>
      </c>
      <c r="F45" s="121"/>
      <c r="G45" s="70"/>
      <c r="H45" s="121"/>
      <c r="I45" s="70"/>
      <c r="J45" s="121"/>
      <c r="K45" s="70">
        <f>J45*E45</f>
        <v>0</v>
      </c>
      <c r="L45" s="123">
        <f>K45+I45+G45</f>
        <v>0</v>
      </c>
      <c r="M45" s="277"/>
      <c r="N45" s="244"/>
      <c r="O45" s="244"/>
    </row>
    <row r="46" spans="1:15" s="7" customFormat="1" ht="16.2">
      <c r="A46" s="635">
        <v>14</v>
      </c>
      <c r="B46" s="942" t="s">
        <v>330</v>
      </c>
      <c r="C46" s="635" t="s">
        <v>105</v>
      </c>
      <c r="D46" s="937"/>
      <c r="E46" s="943">
        <v>1</v>
      </c>
      <c r="F46" s="943"/>
      <c r="G46" s="715"/>
      <c r="H46" s="943"/>
      <c r="I46" s="715"/>
      <c r="J46" s="943"/>
      <c r="K46" s="715"/>
      <c r="L46" s="938"/>
      <c r="M46" s="319"/>
      <c r="N46" s="283"/>
      <c r="O46" s="283"/>
    </row>
    <row r="47" spans="1:15" s="200" customFormat="1">
      <c r="A47" s="720"/>
      <c r="B47" s="117" t="s">
        <v>42</v>
      </c>
      <c r="C47" s="720" t="s">
        <v>43</v>
      </c>
      <c r="D47" s="119">
        <v>0.56000000000000005</v>
      </c>
      <c r="E47" s="120">
        <f>D47*E46</f>
        <v>0.56000000000000005</v>
      </c>
      <c r="F47" s="121"/>
      <c r="G47" s="611"/>
      <c r="H47" s="121"/>
      <c r="I47" s="70">
        <f>H47*E47</f>
        <v>0</v>
      </c>
      <c r="J47" s="121"/>
      <c r="K47" s="121"/>
      <c r="L47" s="70">
        <f>K47+I47+G47</f>
        <v>0</v>
      </c>
      <c r="M47" s="277"/>
    </row>
    <row r="48" spans="1:15" s="7" customFormat="1" ht="16.2">
      <c r="A48" s="635">
        <v>15</v>
      </c>
      <c r="B48" s="942" t="s">
        <v>331</v>
      </c>
      <c r="C48" s="635" t="s">
        <v>105</v>
      </c>
      <c r="D48" s="937"/>
      <c r="E48" s="943">
        <v>1</v>
      </c>
      <c r="F48" s="943"/>
      <c r="G48" s="715"/>
      <c r="H48" s="943"/>
      <c r="I48" s="715"/>
      <c r="J48" s="943"/>
      <c r="K48" s="715"/>
      <c r="L48" s="938"/>
      <c r="M48" s="319"/>
      <c r="N48" s="283"/>
      <c r="O48" s="283"/>
    </row>
    <row r="49" spans="1:15" s="200" customFormat="1">
      <c r="A49" s="720"/>
      <c r="B49" s="117" t="s">
        <v>42</v>
      </c>
      <c r="C49" s="720" t="s">
        <v>43</v>
      </c>
      <c r="D49" s="119">
        <v>0.46</v>
      </c>
      <c r="E49" s="120">
        <f>D49*E48</f>
        <v>0.46</v>
      </c>
      <c r="F49" s="121"/>
      <c r="G49" s="611"/>
      <c r="H49" s="121"/>
      <c r="I49" s="70">
        <f>H49*E49</f>
        <v>0</v>
      </c>
      <c r="J49" s="121"/>
      <c r="K49" s="121"/>
      <c r="L49" s="70">
        <f>K49+I49+G49</f>
        <v>0</v>
      </c>
      <c r="M49" s="277"/>
    </row>
    <row r="50" spans="1:15" s="7" customFormat="1" ht="45">
      <c r="A50" s="721">
        <v>16</v>
      </c>
      <c r="B50" s="810" t="s">
        <v>373</v>
      </c>
      <c r="C50" s="721" t="s">
        <v>48</v>
      </c>
      <c r="D50" s="819"/>
      <c r="E50" s="948">
        <v>0.85599999999999998</v>
      </c>
      <c r="F50" s="948"/>
      <c r="G50" s="724"/>
      <c r="H50" s="948"/>
      <c r="I50" s="724"/>
      <c r="J50" s="948"/>
      <c r="K50" s="724"/>
      <c r="L50" s="761"/>
      <c r="M50" s="319"/>
      <c r="N50" s="283"/>
      <c r="O50" s="283"/>
    </row>
    <row r="51" spans="1:15" s="200" customFormat="1">
      <c r="A51" s="1015"/>
      <c r="B51" s="117" t="s">
        <v>42</v>
      </c>
      <c r="C51" s="1015" t="s">
        <v>48</v>
      </c>
      <c r="D51" s="119">
        <v>1</v>
      </c>
      <c r="E51" s="120">
        <f>D51*E50</f>
        <v>0.85599999999999998</v>
      </c>
      <c r="F51" s="121"/>
      <c r="G51" s="611"/>
      <c r="H51" s="121"/>
      <c r="I51" s="70">
        <f>H51*E51</f>
        <v>0</v>
      </c>
      <c r="J51" s="121"/>
      <c r="K51" s="121"/>
      <c r="L51" s="70">
        <f>K51+I51+G51</f>
        <v>0</v>
      </c>
      <c r="M51" s="277"/>
    </row>
    <row r="52" spans="1:15" s="7" customFormat="1" ht="30">
      <c r="A52" s="721">
        <v>17</v>
      </c>
      <c r="B52" s="810" t="s">
        <v>366</v>
      </c>
      <c r="C52" s="721" t="s">
        <v>48</v>
      </c>
      <c r="D52" s="819"/>
      <c r="E52" s="948">
        <f>E50</f>
        <v>0.85599999999999998</v>
      </c>
      <c r="F52" s="948"/>
      <c r="G52" s="724"/>
      <c r="H52" s="948"/>
      <c r="I52" s="724"/>
      <c r="J52" s="948"/>
      <c r="K52" s="724"/>
      <c r="L52" s="761"/>
      <c r="M52" s="319"/>
      <c r="N52" s="283"/>
      <c r="O52" s="283"/>
    </row>
    <row r="53" spans="1:15" s="244" customFormat="1" ht="16.2">
      <c r="A53" s="725"/>
      <c r="B53" s="749" t="s">
        <v>367</v>
      </c>
      <c r="C53" s="725" t="s">
        <v>334</v>
      </c>
      <c r="D53" s="735"/>
      <c r="E53" s="736">
        <v>1</v>
      </c>
      <c r="F53" s="736"/>
      <c r="G53" s="729"/>
      <c r="H53" s="736"/>
      <c r="I53" s="729"/>
      <c r="J53" s="736"/>
      <c r="K53" s="70">
        <f>J53*E53</f>
        <v>0</v>
      </c>
      <c r="L53" s="123">
        <f>K53+I53+G53</f>
        <v>0</v>
      </c>
      <c r="M53" s="277"/>
    </row>
    <row r="54" spans="1:15" s="7" customFormat="1" ht="45">
      <c r="A54" s="721">
        <v>18</v>
      </c>
      <c r="B54" s="810" t="s">
        <v>372</v>
      </c>
      <c r="C54" s="420" t="s">
        <v>148</v>
      </c>
      <c r="D54" s="819"/>
      <c r="E54" s="948">
        <v>2.7080000000000002</v>
      </c>
      <c r="F54" s="948"/>
      <c r="G54" s="724"/>
      <c r="H54" s="948"/>
      <c r="I54" s="724"/>
      <c r="J54" s="948"/>
      <c r="K54" s="724"/>
      <c r="L54" s="761"/>
      <c r="M54" s="319"/>
      <c r="N54" s="283"/>
      <c r="O54" s="283"/>
    </row>
    <row r="55" spans="1:15" s="244" customFormat="1" ht="16.2">
      <c r="A55" s="725"/>
      <c r="B55" s="749" t="s">
        <v>405</v>
      </c>
      <c r="C55" s="725" t="s">
        <v>44</v>
      </c>
      <c r="D55" s="735">
        <f>1.25*0.041</f>
        <v>5.1250000000000004E-2</v>
      </c>
      <c r="E55" s="736">
        <f>D55*E54</f>
        <v>0.13878500000000002</v>
      </c>
      <c r="F55" s="736"/>
      <c r="G55" s="729"/>
      <c r="H55" s="736"/>
      <c r="I55" s="729"/>
      <c r="J55" s="736"/>
      <c r="K55" s="70">
        <f>J55*E55</f>
        <v>0</v>
      </c>
      <c r="L55" s="123">
        <f>K55+I55+G55</f>
        <v>0</v>
      </c>
      <c r="M55" s="277"/>
    </row>
    <row r="56" spans="1:15" s="7" customFormat="1" ht="30">
      <c r="A56" s="721">
        <v>19</v>
      </c>
      <c r="B56" s="810" t="s">
        <v>371</v>
      </c>
      <c r="C56" s="420" t="s">
        <v>148</v>
      </c>
      <c r="D56" s="819"/>
      <c r="E56" s="948">
        <v>2.7080000000000002</v>
      </c>
      <c r="F56" s="948"/>
      <c r="G56" s="724"/>
      <c r="H56" s="948"/>
      <c r="I56" s="724"/>
      <c r="J56" s="948"/>
      <c r="K56" s="724"/>
      <c r="L56" s="761"/>
      <c r="M56" s="319"/>
      <c r="N56" s="283"/>
      <c r="O56" s="283"/>
    </row>
    <row r="57" spans="1:15" s="244" customFormat="1" ht="16.2">
      <c r="A57" s="725"/>
      <c r="B57" s="749" t="s">
        <v>367</v>
      </c>
      <c r="C57" s="725" t="s">
        <v>48</v>
      </c>
      <c r="D57" s="735">
        <v>1.8</v>
      </c>
      <c r="E57" s="736">
        <f>D57*E56</f>
        <v>4.8744000000000005</v>
      </c>
      <c r="F57" s="736"/>
      <c r="G57" s="729"/>
      <c r="H57" s="736"/>
      <c r="I57" s="729"/>
      <c r="J57" s="736"/>
      <c r="K57" s="70">
        <f>J57*E57</f>
        <v>0</v>
      </c>
      <c r="L57" s="123">
        <f>K57+I57+G57</f>
        <v>0</v>
      </c>
      <c r="M57" s="277"/>
    </row>
    <row r="58" spans="1:15">
      <c r="A58" s="111"/>
      <c r="B58" s="455" t="s">
        <v>204</v>
      </c>
      <c r="C58" s="720"/>
      <c r="D58" s="115"/>
      <c r="E58" s="131"/>
      <c r="F58" s="131"/>
      <c r="G58" s="132"/>
      <c r="H58" s="131"/>
      <c r="I58" s="132"/>
      <c r="J58" s="131"/>
      <c r="K58" s="132"/>
      <c r="L58" s="132"/>
      <c r="M58" s="277"/>
    </row>
    <row r="59" spans="1:15" s="248" customFormat="1" ht="16.2">
      <c r="A59" s="358"/>
      <c r="B59" s="421" t="s">
        <v>182</v>
      </c>
      <c r="C59" s="358"/>
      <c r="D59" s="357"/>
      <c r="E59" s="127"/>
      <c r="F59" s="121"/>
      <c r="G59" s="70"/>
      <c r="H59" s="121"/>
      <c r="I59" s="70"/>
      <c r="J59" s="121"/>
      <c r="K59" s="70"/>
      <c r="L59" s="70"/>
      <c r="M59" s="277"/>
    </row>
    <row r="60" spans="1:15" s="286" customFormat="1" ht="30">
      <c r="A60" s="311">
        <v>20</v>
      </c>
      <c r="B60" s="314" t="s">
        <v>175</v>
      </c>
      <c r="C60" s="420" t="s">
        <v>148</v>
      </c>
      <c r="D60" s="315"/>
      <c r="E60" s="316">
        <f>5.6*0.2</f>
        <v>1.1199999999999999</v>
      </c>
      <c r="F60" s="317"/>
      <c r="G60" s="318"/>
      <c r="H60" s="317"/>
      <c r="I60" s="318"/>
      <c r="J60" s="317"/>
      <c r="K60" s="318"/>
      <c r="L60" s="318"/>
      <c r="M60" s="319"/>
    </row>
    <row r="61" spans="1:15" s="6" customFormat="1" ht="16.2">
      <c r="A61" s="354"/>
      <c r="B61" s="52" t="s">
        <v>52</v>
      </c>
      <c r="C61" s="354" t="s">
        <v>62</v>
      </c>
      <c r="D61" s="357">
        <v>65.349999999999994</v>
      </c>
      <c r="E61" s="120">
        <f>D61*E60</f>
        <v>73.191999999999993</v>
      </c>
      <c r="F61" s="121"/>
      <c r="G61" s="70"/>
      <c r="H61" s="121"/>
      <c r="I61" s="70">
        <f>H61*E61</f>
        <v>0</v>
      </c>
      <c r="J61" s="121"/>
      <c r="K61" s="70"/>
      <c r="L61" s="70">
        <f>K61+I61+G61</f>
        <v>0</v>
      </c>
      <c r="M61" s="277"/>
      <c r="N61" s="244"/>
      <c r="O61" s="244"/>
    </row>
    <row r="62" spans="1:15" s="6" customFormat="1" ht="16.2">
      <c r="A62" s="354"/>
      <c r="B62" s="117" t="s">
        <v>49</v>
      </c>
      <c r="C62" s="354" t="s">
        <v>2</v>
      </c>
      <c r="D62" s="357">
        <v>0.92</v>
      </c>
      <c r="E62" s="121">
        <f>D62*E60</f>
        <v>1.0304</v>
      </c>
      <c r="F62" s="121"/>
      <c r="G62" s="70"/>
      <c r="H62" s="121"/>
      <c r="I62" s="70"/>
      <c r="J62" s="121"/>
      <c r="K62" s="70">
        <f>J62*E62</f>
        <v>0</v>
      </c>
      <c r="L62" s="123">
        <f>K62+I62+G62</f>
        <v>0</v>
      </c>
      <c r="M62" s="277"/>
      <c r="N62" s="244"/>
      <c r="O62" s="244"/>
    </row>
    <row r="63" spans="1:15" s="6" customFormat="1" ht="16.2">
      <c r="A63" s="354"/>
      <c r="B63" s="52" t="s">
        <v>70</v>
      </c>
      <c r="C63" s="354" t="s">
        <v>62</v>
      </c>
      <c r="D63" s="357">
        <v>65.349999999999994</v>
      </c>
      <c r="E63" s="121">
        <f>E60*D63</f>
        <v>73.191999999999993</v>
      </c>
      <c r="F63" s="121"/>
      <c r="G63" s="123">
        <f>F63*E63</f>
        <v>0</v>
      </c>
      <c r="H63" s="121"/>
      <c r="I63" s="70"/>
      <c r="J63" s="121"/>
      <c r="K63" s="70"/>
      <c r="L63" s="123">
        <f>K63+I63+G63</f>
        <v>0</v>
      </c>
      <c r="M63" s="277"/>
      <c r="N63" s="244"/>
      <c r="O63" s="244"/>
    </row>
    <row r="64" spans="1:15" s="6" customFormat="1" ht="17.399999999999999">
      <c r="A64" s="354"/>
      <c r="B64" s="52" t="s">
        <v>71</v>
      </c>
      <c r="C64" s="118" t="s">
        <v>143</v>
      </c>
      <c r="D64" s="357">
        <v>0.11</v>
      </c>
      <c r="E64" s="121">
        <f>D64*E60</f>
        <v>0.12319999999999999</v>
      </c>
      <c r="F64" s="121"/>
      <c r="G64" s="70">
        <f>F64*E64</f>
        <v>0</v>
      </c>
      <c r="H64" s="121"/>
      <c r="I64" s="70"/>
      <c r="J64" s="121"/>
      <c r="K64" s="70"/>
      <c r="L64" s="70">
        <f>K64+I64+G64</f>
        <v>0</v>
      </c>
      <c r="M64" s="277"/>
      <c r="N64" s="244"/>
      <c r="O64" s="244"/>
    </row>
    <row r="65" spans="1:15" s="6" customFormat="1" ht="16.2">
      <c r="A65" s="354"/>
      <c r="B65" s="117" t="s">
        <v>51</v>
      </c>
      <c r="C65" s="118" t="s">
        <v>2</v>
      </c>
      <c r="D65" s="357">
        <v>0.16</v>
      </c>
      <c r="E65" s="121">
        <f>D65*E60</f>
        <v>0.1792</v>
      </c>
      <c r="F65" s="121"/>
      <c r="G65" s="123">
        <f>F65*E65</f>
        <v>0</v>
      </c>
      <c r="H65" s="121"/>
      <c r="I65" s="70"/>
      <c r="J65" s="121"/>
      <c r="K65" s="70"/>
      <c r="L65" s="123">
        <f>K65+I65+G65</f>
        <v>0</v>
      </c>
      <c r="M65" s="277"/>
      <c r="N65" s="244"/>
      <c r="O65" s="244"/>
    </row>
    <row r="66" spans="1:15" s="286" customFormat="1" ht="45">
      <c r="A66" s="311">
        <v>21</v>
      </c>
      <c r="B66" s="314" t="s">
        <v>380</v>
      </c>
      <c r="C66" s="420" t="s">
        <v>148</v>
      </c>
      <c r="D66" s="315"/>
      <c r="E66" s="316">
        <f>0.75*1*0.2</f>
        <v>0.15000000000000002</v>
      </c>
      <c r="F66" s="317"/>
      <c r="G66" s="318"/>
      <c r="H66" s="317"/>
      <c r="I66" s="318"/>
      <c r="J66" s="317"/>
      <c r="K66" s="318"/>
      <c r="L66" s="318"/>
      <c r="M66" s="319"/>
    </row>
    <row r="67" spans="1:15" s="6" customFormat="1" ht="16.2">
      <c r="A67" s="354"/>
      <c r="B67" s="52" t="s">
        <v>52</v>
      </c>
      <c r="C67" s="354" t="s">
        <v>62</v>
      </c>
      <c r="D67" s="357">
        <v>65.349999999999994</v>
      </c>
      <c r="E67" s="120">
        <f>D67*E66</f>
        <v>9.8025000000000002</v>
      </c>
      <c r="F67" s="121"/>
      <c r="G67" s="70"/>
      <c r="H67" s="121"/>
      <c r="I67" s="70">
        <f>H67*E67</f>
        <v>0</v>
      </c>
      <c r="J67" s="121"/>
      <c r="K67" s="70"/>
      <c r="L67" s="70">
        <f>K67+I67+G67</f>
        <v>0</v>
      </c>
      <c r="M67" s="277"/>
      <c r="N67" s="244"/>
      <c r="O67" s="244"/>
    </row>
    <row r="68" spans="1:15" s="6" customFormat="1" ht="16.2">
      <c r="A68" s="354"/>
      <c r="B68" s="117" t="s">
        <v>49</v>
      </c>
      <c r="C68" s="354" t="s">
        <v>2</v>
      </c>
      <c r="D68" s="357">
        <v>0.92</v>
      </c>
      <c r="E68" s="121">
        <f>D68*E66</f>
        <v>0.13800000000000004</v>
      </c>
      <c r="F68" s="121"/>
      <c r="G68" s="70"/>
      <c r="H68" s="121"/>
      <c r="I68" s="70"/>
      <c r="J68" s="121"/>
      <c r="K68" s="70">
        <f>J68*E68</f>
        <v>0</v>
      </c>
      <c r="L68" s="123">
        <f>K68+I68+G68</f>
        <v>0</v>
      </c>
      <c r="M68" s="277"/>
      <c r="N68" s="244"/>
      <c r="O68" s="244"/>
    </row>
    <row r="69" spans="1:15" s="6" customFormat="1" ht="16.2">
      <c r="A69" s="354"/>
      <c r="B69" s="52" t="s">
        <v>70</v>
      </c>
      <c r="C69" s="354" t="s">
        <v>62</v>
      </c>
      <c r="D69" s="357">
        <v>65.349999999999994</v>
      </c>
      <c r="E69" s="121">
        <f>E66*D69</f>
        <v>9.8025000000000002</v>
      </c>
      <c r="F69" s="121"/>
      <c r="G69" s="123">
        <f>F69*E69</f>
        <v>0</v>
      </c>
      <c r="H69" s="121"/>
      <c r="I69" s="70"/>
      <c r="J69" s="121"/>
      <c r="K69" s="70"/>
      <c r="L69" s="123">
        <f>K69+I69+G69</f>
        <v>0</v>
      </c>
      <c r="M69" s="277"/>
      <c r="N69" s="244"/>
      <c r="O69" s="244"/>
    </row>
    <row r="70" spans="1:15" s="6" customFormat="1" ht="17.399999999999999">
      <c r="A70" s="354"/>
      <c r="B70" s="52" t="s">
        <v>71</v>
      </c>
      <c r="C70" s="118" t="s">
        <v>143</v>
      </c>
      <c r="D70" s="357">
        <v>0.11</v>
      </c>
      <c r="E70" s="121">
        <f>D70*E66</f>
        <v>1.6500000000000004E-2</v>
      </c>
      <c r="F70" s="121"/>
      <c r="G70" s="70">
        <f>F70*E70</f>
        <v>0</v>
      </c>
      <c r="H70" s="121"/>
      <c r="I70" s="70"/>
      <c r="J70" s="121"/>
      <c r="K70" s="70"/>
      <c r="L70" s="70">
        <f>K70+I70+G70</f>
        <v>0</v>
      </c>
      <c r="M70" s="277"/>
      <c r="N70" s="244"/>
      <c r="O70" s="244"/>
    </row>
    <row r="71" spans="1:15" s="6" customFormat="1" ht="16.2">
      <c r="A71" s="354"/>
      <c r="B71" s="117" t="s">
        <v>51</v>
      </c>
      <c r="C71" s="118" t="s">
        <v>2</v>
      </c>
      <c r="D71" s="357">
        <v>0.16</v>
      </c>
      <c r="E71" s="121">
        <f>D71*E66</f>
        <v>2.4000000000000004E-2</v>
      </c>
      <c r="F71" s="121"/>
      <c r="G71" s="123">
        <f>F71*E71</f>
        <v>0</v>
      </c>
      <c r="H71" s="121"/>
      <c r="I71" s="70"/>
      <c r="J71" s="121"/>
      <c r="K71" s="70"/>
      <c r="L71" s="123">
        <f>K71+I71+G71</f>
        <v>0</v>
      </c>
      <c r="M71" s="277"/>
      <c r="N71" s="244"/>
      <c r="O71" s="244"/>
    </row>
    <row r="72" spans="1:15" s="71" customFormat="1" ht="30.75" customHeight="1">
      <c r="A72" s="392">
        <v>22</v>
      </c>
      <c r="B72" s="302" t="s">
        <v>146</v>
      </c>
      <c r="C72" s="311" t="s">
        <v>151</v>
      </c>
      <c r="D72" s="394"/>
      <c r="E72" s="409">
        <f>2.9*2.8</f>
        <v>8.1199999999999992</v>
      </c>
      <c r="F72" s="396"/>
      <c r="G72" s="397"/>
      <c r="H72" s="396"/>
      <c r="I72" s="397"/>
      <c r="J72" s="396"/>
      <c r="K72" s="397"/>
      <c r="L72" s="397"/>
      <c r="M72" s="277"/>
      <c r="N72" s="200"/>
      <c r="O72" s="200"/>
    </row>
    <row r="73" spans="1:15" s="76" customFormat="1">
      <c r="A73" s="354"/>
      <c r="B73" s="117" t="s">
        <v>42</v>
      </c>
      <c r="C73" s="354" t="s">
        <v>43</v>
      </c>
      <c r="D73" s="119">
        <v>7.65</v>
      </c>
      <c r="E73" s="120">
        <f>D73*E72</f>
        <v>62.117999999999995</v>
      </c>
      <c r="F73" s="121"/>
      <c r="G73" s="70"/>
      <c r="H73" s="121"/>
      <c r="I73" s="70">
        <f>H73*E73</f>
        <v>0</v>
      </c>
      <c r="J73" s="121"/>
      <c r="K73" s="70"/>
      <c r="L73" s="70">
        <f t="shared" ref="L73:L79" si="0">K73+I73+G73</f>
        <v>0</v>
      </c>
      <c r="M73" s="277"/>
      <c r="N73" s="288"/>
      <c r="O73" s="288"/>
    </row>
    <row r="74" spans="1:15" s="71" customFormat="1">
      <c r="A74" s="176"/>
      <c r="B74" s="52" t="s">
        <v>45</v>
      </c>
      <c r="C74" s="354" t="s">
        <v>2</v>
      </c>
      <c r="D74" s="611">
        <v>0.34799999999999998</v>
      </c>
      <c r="E74" s="97">
        <f>D74*E72</f>
        <v>2.8257599999999994</v>
      </c>
      <c r="F74" s="161"/>
      <c r="G74" s="55"/>
      <c r="H74" s="161"/>
      <c r="I74" s="55"/>
      <c r="J74" s="70"/>
      <c r="K74" s="70">
        <f>E74*J74</f>
        <v>0</v>
      </c>
      <c r="L74" s="70">
        <f t="shared" si="0"/>
        <v>0</v>
      </c>
      <c r="M74" s="277"/>
      <c r="N74" s="200"/>
      <c r="O74" s="200"/>
    </row>
    <row r="75" spans="1:15" s="71" customFormat="1" ht="38.4" customHeight="1">
      <c r="A75" s="176"/>
      <c r="B75" s="177" t="s">
        <v>381</v>
      </c>
      <c r="C75" s="354" t="s">
        <v>142</v>
      </c>
      <c r="D75" s="611">
        <v>1</v>
      </c>
      <c r="E75" s="97">
        <f>D75*E72</f>
        <v>8.1199999999999992</v>
      </c>
      <c r="F75" s="121"/>
      <c r="G75" s="55">
        <f>F75*E75</f>
        <v>0</v>
      </c>
      <c r="H75" s="161"/>
      <c r="I75" s="55"/>
      <c r="J75" s="161"/>
      <c r="K75" s="55"/>
      <c r="L75" s="70">
        <f t="shared" si="0"/>
        <v>0</v>
      </c>
      <c r="M75" s="277"/>
      <c r="N75" s="200"/>
      <c r="O75" s="200"/>
    </row>
    <row r="76" spans="1:15" s="71" customFormat="1" ht="31.5" customHeight="1">
      <c r="A76" s="176"/>
      <c r="B76" s="177" t="s">
        <v>147</v>
      </c>
      <c r="C76" s="354" t="s">
        <v>58</v>
      </c>
      <c r="D76" s="611">
        <v>0.55000000000000004</v>
      </c>
      <c r="E76" s="97">
        <f>D76*E72</f>
        <v>4.4660000000000002</v>
      </c>
      <c r="F76" s="97"/>
      <c r="G76" s="123">
        <f>F76*E76</f>
        <v>0</v>
      </c>
      <c r="H76" s="97"/>
      <c r="I76" s="123"/>
      <c r="J76" s="97"/>
      <c r="K76" s="123"/>
      <c r="L76" s="123">
        <f t="shared" si="0"/>
        <v>0</v>
      </c>
      <c r="M76" s="277"/>
      <c r="N76" s="200"/>
      <c r="O76" s="200"/>
    </row>
    <row r="77" spans="1:15" s="71" customFormat="1" ht="31.5" customHeight="1">
      <c r="A77" s="176"/>
      <c r="B77" s="52" t="s">
        <v>65</v>
      </c>
      <c r="C77" s="111" t="s">
        <v>58</v>
      </c>
      <c r="D77" s="113">
        <v>0.49</v>
      </c>
      <c r="E77" s="97">
        <f>D77*E72</f>
        <v>3.9787999999999997</v>
      </c>
      <c r="F77" s="97"/>
      <c r="G77" s="123">
        <f>F77*E77</f>
        <v>0</v>
      </c>
      <c r="H77" s="97"/>
      <c r="I77" s="123"/>
      <c r="J77" s="97"/>
      <c r="K77" s="123"/>
      <c r="L77" s="123">
        <f t="shared" si="0"/>
        <v>0</v>
      </c>
      <c r="M77" s="277"/>
      <c r="N77" s="200"/>
      <c r="O77" s="200"/>
    </row>
    <row r="78" spans="1:15" s="71" customFormat="1" ht="31.5" customHeight="1">
      <c r="A78" s="176"/>
      <c r="B78" s="177" t="s">
        <v>57</v>
      </c>
      <c r="C78" s="354" t="s">
        <v>58</v>
      </c>
      <c r="D78" s="611">
        <v>0.04</v>
      </c>
      <c r="E78" s="97">
        <f>D78*E72</f>
        <v>0.32479999999999998</v>
      </c>
      <c r="F78" s="137"/>
      <c r="G78" s="123">
        <f>F78*E78</f>
        <v>0</v>
      </c>
      <c r="H78" s="97"/>
      <c r="I78" s="123"/>
      <c r="J78" s="97"/>
      <c r="K78" s="123"/>
      <c r="L78" s="123">
        <f t="shared" si="0"/>
        <v>0</v>
      </c>
      <c r="M78" s="277"/>
      <c r="N78" s="200"/>
      <c r="O78" s="200"/>
    </row>
    <row r="79" spans="1:15" s="10" customFormat="1">
      <c r="A79" s="165"/>
      <c r="B79" s="52" t="s">
        <v>51</v>
      </c>
      <c r="C79" s="354" t="s">
        <v>2</v>
      </c>
      <c r="D79" s="221">
        <v>0.65600000000000003</v>
      </c>
      <c r="E79" s="97">
        <f>D79*E72</f>
        <v>5.3267199999999999</v>
      </c>
      <c r="F79" s="97"/>
      <c r="G79" s="70">
        <f>F79*E79</f>
        <v>0</v>
      </c>
      <c r="H79" s="121"/>
      <c r="I79" s="70"/>
      <c r="J79" s="121"/>
      <c r="K79" s="70"/>
      <c r="L79" s="70">
        <f t="shared" si="0"/>
        <v>0</v>
      </c>
      <c r="M79" s="277"/>
      <c r="N79" s="44"/>
      <c r="O79" s="44"/>
    </row>
    <row r="80" spans="1:15" s="71" customFormat="1" ht="30.75" customHeight="1">
      <c r="A80" s="392">
        <v>23</v>
      </c>
      <c r="B80" s="302" t="s">
        <v>322</v>
      </c>
      <c r="C80" s="311" t="s">
        <v>151</v>
      </c>
      <c r="D80" s="394"/>
      <c r="E80" s="409">
        <v>1.98</v>
      </c>
      <c r="F80" s="396"/>
      <c r="G80" s="397"/>
      <c r="H80" s="396"/>
      <c r="I80" s="397"/>
      <c r="J80" s="396"/>
      <c r="K80" s="397"/>
      <c r="L80" s="397"/>
      <c r="M80" s="277"/>
      <c r="N80" s="200"/>
      <c r="O80" s="200"/>
    </row>
    <row r="81" spans="1:15" s="76" customFormat="1">
      <c r="A81" s="610"/>
      <c r="B81" s="117" t="s">
        <v>42</v>
      </c>
      <c r="C81" s="610" t="s">
        <v>43</v>
      </c>
      <c r="D81" s="119">
        <v>7.65</v>
      </c>
      <c r="E81" s="120">
        <f>D81*E80</f>
        <v>15.147</v>
      </c>
      <c r="F81" s="121"/>
      <c r="G81" s="70"/>
      <c r="H81" s="121"/>
      <c r="I81" s="70">
        <f>H81*E81</f>
        <v>0</v>
      </c>
      <c r="J81" s="121"/>
      <c r="K81" s="70"/>
      <c r="L81" s="70">
        <f t="shared" ref="L81:L87" si="1">K81+I81+G81</f>
        <v>0</v>
      </c>
      <c r="M81" s="277"/>
      <c r="N81" s="288"/>
      <c r="O81" s="288"/>
    </row>
    <row r="82" spans="1:15" s="71" customFormat="1">
      <c r="A82" s="176"/>
      <c r="B82" s="52" t="s">
        <v>45</v>
      </c>
      <c r="C82" s="610" t="s">
        <v>2</v>
      </c>
      <c r="D82" s="611">
        <v>0.34799999999999998</v>
      </c>
      <c r="E82" s="97">
        <f>D82*E80</f>
        <v>0.68903999999999999</v>
      </c>
      <c r="F82" s="161"/>
      <c r="G82" s="55"/>
      <c r="H82" s="161"/>
      <c r="I82" s="55"/>
      <c r="J82" s="70"/>
      <c r="K82" s="70">
        <f>E82*J82</f>
        <v>0</v>
      </c>
      <c r="L82" s="70">
        <f t="shared" si="1"/>
        <v>0</v>
      </c>
      <c r="M82" s="277"/>
      <c r="N82" s="200"/>
      <c r="O82" s="200"/>
    </row>
    <row r="83" spans="1:15" s="71" customFormat="1" ht="38.4" customHeight="1">
      <c r="A83" s="176"/>
      <c r="B83" s="177" t="s">
        <v>323</v>
      </c>
      <c r="C83" s="610" t="s">
        <v>142</v>
      </c>
      <c r="D83" s="611">
        <v>1</v>
      </c>
      <c r="E83" s="97">
        <f>D83*E80</f>
        <v>1.98</v>
      </c>
      <c r="F83" s="121"/>
      <c r="G83" s="55">
        <f>F83*E83</f>
        <v>0</v>
      </c>
      <c r="H83" s="161"/>
      <c r="I83" s="55"/>
      <c r="J83" s="161"/>
      <c r="K83" s="55"/>
      <c r="L83" s="70">
        <f t="shared" si="1"/>
        <v>0</v>
      </c>
      <c r="M83" s="277"/>
      <c r="N83" s="200"/>
      <c r="O83" s="200"/>
    </row>
    <row r="84" spans="1:15" s="71" customFormat="1" ht="31.5" customHeight="1">
      <c r="A84" s="176"/>
      <c r="B84" s="177" t="s">
        <v>147</v>
      </c>
      <c r="C84" s="610" t="s">
        <v>58</v>
      </c>
      <c r="D84" s="611">
        <v>0.55000000000000004</v>
      </c>
      <c r="E84" s="97">
        <f>D84*E80</f>
        <v>1.089</v>
      </c>
      <c r="F84" s="97"/>
      <c r="G84" s="123">
        <f>F84*E84</f>
        <v>0</v>
      </c>
      <c r="H84" s="97"/>
      <c r="I84" s="123"/>
      <c r="J84" s="97"/>
      <c r="K84" s="123"/>
      <c r="L84" s="123">
        <f t="shared" si="1"/>
        <v>0</v>
      </c>
      <c r="M84" s="277"/>
      <c r="N84" s="200"/>
      <c r="O84" s="200"/>
    </row>
    <row r="85" spans="1:15" s="71" customFormat="1" ht="31.5" customHeight="1">
      <c r="A85" s="176"/>
      <c r="B85" s="52" t="s">
        <v>65</v>
      </c>
      <c r="C85" s="111" t="s">
        <v>58</v>
      </c>
      <c r="D85" s="113">
        <v>0.49</v>
      </c>
      <c r="E85" s="97">
        <f>D85*E80</f>
        <v>0.97019999999999995</v>
      </c>
      <c r="F85" s="97"/>
      <c r="G85" s="123">
        <f>F85*E85</f>
        <v>0</v>
      </c>
      <c r="H85" s="97"/>
      <c r="I85" s="123"/>
      <c r="J85" s="97"/>
      <c r="K85" s="123"/>
      <c r="L85" s="123">
        <f t="shared" si="1"/>
        <v>0</v>
      </c>
      <c r="M85" s="277"/>
      <c r="N85" s="200"/>
      <c r="O85" s="200"/>
    </row>
    <row r="86" spans="1:15" s="71" customFormat="1" ht="31.5" customHeight="1">
      <c r="A86" s="176"/>
      <c r="B86" s="177" t="s">
        <v>57</v>
      </c>
      <c r="C86" s="610" t="s">
        <v>58</v>
      </c>
      <c r="D86" s="611">
        <v>0.04</v>
      </c>
      <c r="E86" s="97">
        <f>D86*E80</f>
        <v>7.9200000000000007E-2</v>
      </c>
      <c r="F86" s="137"/>
      <c r="G86" s="123">
        <f>F86*E86</f>
        <v>0</v>
      </c>
      <c r="H86" s="97"/>
      <c r="I86" s="123"/>
      <c r="J86" s="97"/>
      <c r="K86" s="123"/>
      <c r="L86" s="123">
        <f t="shared" si="1"/>
        <v>0</v>
      </c>
      <c r="M86" s="277"/>
      <c r="N86" s="200"/>
      <c r="O86" s="200"/>
    </row>
    <row r="87" spans="1:15" s="10" customFormat="1">
      <c r="A87" s="165"/>
      <c r="B87" s="52" t="s">
        <v>51</v>
      </c>
      <c r="C87" s="610" t="s">
        <v>2</v>
      </c>
      <c r="D87" s="221">
        <v>0.65600000000000003</v>
      </c>
      <c r="E87" s="97">
        <f>D87*E80</f>
        <v>1.29888</v>
      </c>
      <c r="F87" s="97"/>
      <c r="G87" s="70">
        <f>F87*E87</f>
        <v>0</v>
      </c>
      <c r="H87" s="121"/>
      <c r="I87" s="70"/>
      <c r="J87" s="121"/>
      <c r="K87" s="70"/>
      <c r="L87" s="70">
        <f t="shared" si="1"/>
        <v>0</v>
      </c>
      <c r="M87" s="277"/>
      <c r="N87" s="44"/>
      <c r="O87" s="44"/>
    </row>
    <row r="88" spans="1:15" s="71" customFormat="1" ht="30.75" customHeight="1">
      <c r="A88" s="392">
        <v>24</v>
      </c>
      <c r="B88" s="302" t="s">
        <v>324</v>
      </c>
      <c r="C88" s="311" t="s">
        <v>151</v>
      </c>
      <c r="D88" s="394"/>
      <c r="E88" s="409">
        <f>0.6*0.4</f>
        <v>0.24</v>
      </c>
      <c r="F88" s="396"/>
      <c r="G88" s="397"/>
      <c r="H88" s="396"/>
      <c r="I88" s="397"/>
      <c r="J88" s="396"/>
      <c r="K88" s="397"/>
      <c r="L88" s="397"/>
      <c r="M88" s="277"/>
      <c r="N88" s="200"/>
      <c r="O88" s="200"/>
    </row>
    <row r="89" spans="1:15" s="76" customFormat="1">
      <c r="A89" s="610"/>
      <c r="B89" s="117" t="s">
        <v>42</v>
      </c>
      <c r="C89" s="1015" t="s">
        <v>43</v>
      </c>
      <c r="D89" s="119">
        <v>7.65</v>
      </c>
      <c r="E89" s="120">
        <f>D89*E88</f>
        <v>1.8360000000000001</v>
      </c>
      <c r="F89" s="121"/>
      <c r="G89" s="70"/>
      <c r="H89" s="121"/>
      <c r="I89" s="70">
        <f>H89*E89</f>
        <v>0</v>
      </c>
      <c r="J89" s="121"/>
      <c r="K89" s="70"/>
      <c r="L89" s="70">
        <f t="shared" ref="L89:L95" si="2">K89+I89+G89</f>
        <v>0</v>
      </c>
      <c r="M89" s="277"/>
      <c r="N89" s="288"/>
      <c r="O89" s="288"/>
    </row>
    <row r="90" spans="1:15" s="71" customFormat="1">
      <c r="A90" s="176"/>
      <c r="B90" s="52" t="s">
        <v>45</v>
      </c>
      <c r="C90" s="1015" t="s">
        <v>2</v>
      </c>
      <c r="D90" s="611">
        <v>0.34799999999999998</v>
      </c>
      <c r="E90" s="97">
        <f>D90*E88</f>
        <v>8.3519999999999997E-2</v>
      </c>
      <c r="F90" s="161"/>
      <c r="G90" s="55"/>
      <c r="H90" s="161"/>
      <c r="I90" s="55"/>
      <c r="J90" s="70"/>
      <c r="K90" s="70">
        <f>E90*J90</f>
        <v>0</v>
      </c>
      <c r="L90" s="70">
        <f t="shared" si="2"/>
        <v>0</v>
      </c>
      <c r="M90" s="277"/>
      <c r="N90" s="200"/>
      <c r="O90" s="200"/>
    </row>
    <row r="91" spans="1:15" s="71" customFormat="1" ht="38.4" customHeight="1">
      <c r="A91" s="176"/>
      <c r="B91" s="177" t="s">
        <v>325</v>
      </c>
      <c r="C91" s="1015" t="s">
        <v>142</v>
      </c>
      <c r="D91" s="611">
        <v>1</v>
      </c>
      <c r="E91" s="97">
        <f>D91*E88</f>
        <v>0.24</v>
      </c>
      <c r="F91" s="121"/>
      <c r="G91" s="55">
        <f>F91*E91</f>
        <v>0</v>
      </c>
      <c r="H91" s="161"/>
      <c r="I91" s="55"/>
      <c r="J91" s="161"/>
      <c r="K91" s="55"/>
      <c r="L91" s="70">
        <f t="shared" si="2"/>
        <v>0</v>
      </c>
      <c r="M91" s="277"/>
      <c r="N91" s="200"/>
      <c r="O91" s="200"/>
    </row>
    <row r="92" spans="1:15" s="71" customFormat="1" ht="31.5" customHeight="1">
      <c r="A92" s="176"/>
      <c r="B92" s="177" t="s">
        <v>147</v>
      </c>
      <c r="C92" s="1015" t="s">
        <v>58</v>
      </c>
      <c r="D92" s="611">
        <v>0.55000000000000004</v>
      </c>
      <c r="E92" s="97">
        <f>D92*E88</f>
        <v>0.13200000000000001</v>
      </c>
      <c r="F92" s="97"/>
      <c r="G92" s="123">
        <f>F92*E92</f>
        <v>0</v>
      </c>
      <c r="H92" s="97"/>
      <c r="I92" s="123"/>
      <c r="J92" s="97"/>
      <c r="K92" s="123"/>
      <c r="L92" s="123">
        <f t="shared" si="2"/>
        <v>0</v>
      </c>
      <c r="M92" s="277"/>
      <c r="N92" s="200"/>
      <c r="O92" s="200"/>
    </row>
    <row r="93" spans="1:15" s="71" customFormat="1" ht="31.5" customHeight="1">
      <c r="A93" s="176"/>
      <c r="B93" s="52" t="s">
        <v>65</v>
      </c>
      <c r="C93" s="111" t="s">
        <v>58</v>
      </c>
      <c r="D93" s="113">
        <v>0.49</v>
      </c>
      <c r="E93" s="97">
        <f>D93*E88</f>
        <v>0.1176</v>
      </c>
      <c r="F93" s="97"/>
      <c r="G93" s="123">
        <f>F93*E93</f>
        <v>0</v>
      </c>
      <c r="H93" s="97"/>
      <c r="I93" s="123"/>
      <c r="J93" s="97"/>
      <c r="K93" s="123"/>
      <c r="L93" s="123">
        <f t="shared" si="2"/>
        <v>0</v>
      </c>
      <c r="M93" s="277"/>
      <c r="N93" s="200"/>
      <c r="O93" s="200"/>
    </row>
    <row r="94" spans="1:15" s="71" customFormat="1" ht="31.5" customHeight="1">
      <c r="A94" s="176"/>
      <c r="B94" s="177" t="s">
        <v>57</v>
      </c>
      <c r="C94" s="1015" t="s">
        <v>58</v>
      </c>
      <c r="D94" s="611">
        <v>0.04</v>
      </c>
      <c r="E94" s="97">
        <f>D94*E88</f>
        <v>9.5999999999999992E-3</v>
      </c>
      <c r="F94" s="137"/>
      <c r="G94" s="123">
        <f>F94*E94</f>
        <v>0</v>
      </c>
      <c r="H94" s="97"/>
      <c r="I94" s="123"/>
      <c r="J94" s="97"/>
      <c r="K94" s="123"/>
      <c r="L94" s="123">
        <f t="shared" si="2"/>
        <v>0</v>
      </c>
      <c r="M94" s="277"/>
      <c r="N94" s="200"/>
      <c r="O94" s="200"/>
    </row>
    <row r="95" spans="1:15" s="10" customFormat="1">
      <c r="A95" s="165"/>
      <c r="B95" s="52" t="s">
        <v>51</v>
      </c>
      <c r="C95" s="1015" t="s">
        <v>2</v>
      </c>
      <c r="D95" s="221">
        <v>0.65600000000000003</v>
      </c>
      <c r="E95" s="97">
        <f>D95*E88</f>
        <v>0.15744</v>
      </c>
      <c r="F95" s="97"/>
      <c r="G95" s="70">
        <f>F95*E95</f>
        <v>0</v>
      </c>
      <c r="H95" s="121"/>
      <c r="I95" s="70"/>
      <c r="J95" s="121"/>
      <c r="K95" s="70"/>
      <c r="L95" s="70">
        <f t="shared" si="2"/>
        <v>0</v>
      </c>
      <c r="M95" s="277"/>
      <c r="N95" s="44"/>
      <c r="O95" s="44"/>
    </row>
    <row r="96" spans="1:15" s="11" customFormat="1" ht="30">
      <c r="A96" s="392">
        <v>25</v>
      </c>
      <c r="B96" s="302" t="s">
        <v>82</v>
      </c>
      <c r="C96" s="311" t="s">
        <v>151</v>
      </c>
      <c r="D96" s="301"/>
      <c r="E96" s="393">
        <v>34.68</v>
      </c>
      <c r="F96" s="317"/>
      <c r="G96" s="318"/>
      <c r="H96" s="317"/>
      <c r="I96" s="318"/>
      <c r="J96" s="317"/>
      <c r="K96" s="318"/>
      <c r="L96" s="318"/>
      <c r="M96" s="69"/>
      <c r="N96" s="69"/>
      <c r="O96" s="69"/>
    </row>
    <row r="97" spans="1:15" s="12" customFormat="1" ht="17.399999999999999">
      <c r="A97" s="354"/>
      <c r="B97" s="117" t="s">
        <v>42</v>
      </c>
      <c r="C97" s="954" t="s">
        <v>142</v>
      </c>
      <c r="D97" s="611">
        <f>1.01*1.16</f>
        <v>1.1716</v>
      </c>
      <c r="E97" s="120">
        <f>D97*E96</f>
        <v>40.631087999999998</v>
      </c>
      <c r="F97" s="121"/>
      <c r="G97" s="70"/>
      <c r="H97" s="121"/>
      <c r="I97" s="70">
        <f>H97*E97</f>
        <v>0</v>
      </c>
      <c r="J97" s="121"/>
      <c r="K97" s="70"/>
      <c r="L97" s="70">
        <f>K97+I97+G97</f>
        <v>0</v>
      </c>
      <c r="M97" s="192"/>
      <c r="N97" s="192"/>
      <c r="O97" s="192"/>
    </row>
    <row r="98" spans="1:15" s="12" customFormat="1">
      <c r="A98" s="354"/>
      <c r="B98" s="117" t="s">
        <v>45</v>
      </c>
      <c r="C98" s="118" t="s">
        <v>2</v>
      </c>
      <c r="D98" s="130">
        <f>0.027</f>
        <v>2.7E-2</v>
      </c>
      <c r="E98" s="1117">
        <f>D98*E96</f>
        <v>0.93635999999999997</v>
      </c>
      <c r="F98" s="121"/>
      <c r="G98" s="70"/>
      <c r="H98" s="121"/>
      <c r="I98" s="70"/>
      <c r="J98" s="121"/>
      <c r="K98" s="70">
        <f>E98*J98</f>
        <v>0</v>
      </c>
      <c r="L98" s="70">
        <f>K98+I98+G98</f>
        <v>0</v>
      </c>
      <c r="M98" s="192"/>
      <c r="N98" s="192"/>
      <c r="O98" s="192"/>
    </row>
    <row r="99" spans="1:15" s="6" customFormat="1" ht="17.399999999999999">
      <c r="A99" s="354"/>
      <c r="B99" s="52" t="s">
        <v>83</v>
      </c>
      <c r="C99" s="118" t="s">
        <v>143</v>
      </c>
      <c r="D99" s="611">
        <f>0.0238*1.05</f>
        <v>2.4990000000000002E-2</v>
      </c>
      <c r="E99" s="121">
        <f>D99*E96</f>
        <v>0.86665320000000001</v>
      </c>
      <c r="F99" s="729"/>
      <c r="G99" s="729">
        <f>E99*F99</f>
        <v>0</v>
      </c>
      <c r="H99" s="729"/>
      <c r="I99" s="729"/>
      <c r="J99" s="729"/>
      <c r="K99" s="729"/>
      <c r="L99" s="729">
        <f>K99+I99+G99</f>
        <v>0</v>
      </c>
      <c r="M99" s="244"/>
      <c r="N99" s="244"/>
      <c r="O99" s="244"/>
    </row>
    <row r="100" spans="1:15" s="12" customFormat="1">
      <c r="A100" s="354"/>
      <c r="B100" s="117" t="s">
        <v>51</v>
      </c>
      <c r="C100" s="118" t="s">
        <v>2</v>
      </c>
      <c r="D100" s="130">
        <v>3.0000000000000001E-3</v>
      </c>
      <c r="E100" s="1117">
        <f>D100*E96</f>
        <v>0.10404000000000001</v>
      </c>
      <c r="F100" s="121"/>
      <c r="G100" s="70">
        <f>E100*F100</f>
        <v>0</v>
      </c>
      <c r="H100" s="121"/>
      <c r="I100" s="70"/>
      <c r="J100" s="121"/>
      <c r="K100" s="70"/>
      <c r="L100" s="70">
        <f>K100+I100+G100</f>
        <v>0</v>
      </c>
      <c r="M100" s="192"/>
      <c r="N100" s="192"/>
      <c r="O100" s="192"/>
    </row>
    <row r="101" spans="1:15" s="13" customFormat="1" ht="30">
      <c r="A101" s="363">
        <v>26</v>
      </c>
      <c r="B101" s="417" t="s">
        <v>185</v>
      </c>
      <c r="C101" s="311" t="s">
        <v>151</v>
      </c>
      <c r="D101" s="434"/>
      <c r="E101" s="435">
        <v>6.4</v>
      </c>
      <c r="F101" s="436"/>
      <c r="G101" s="373"/>
      <c r="H101" s="436"/>
      <c r="I101" s="373"/>
      <c r="J101" s="436"/>
      <c r="K101" s="373"/>
      <c r="L101" s="373"/>
      <c r="M101" s="199"/>
      <c r="N101" s="199"/>
      <c r="O101" s="199"/>
    </row>
    <row r="102" spans="1:15" s="939" customFormat="1" ht="17.399999999999999">
      <c r="A102" s="1036"/>
      <c r="B102" s="1032" t="s">
        <v>42</v>
      </c>
      <c r="C102" s="1037" t="s">
        <v>395</v>
      </c>
      <c r="D102" s="1038">
        <v>1</v>
      </c>
      <c r="E102" s="1039">
        <f>E101</f>
        <v>6.4</v>
      </c>
      <c r="F102" s="1039"/>
      <c r="G102" s="1039"/>
      <c r="H102" s="1039"/>
      <c r="I102" s="1039">
        <f>H102*E102</f>
        <v>0</v>
      </c>
      <c r="J102" s="1039"/>
      <c r="K102" s="1039"/>
      <c r="L102" s="1039">
        <f t="shared" ref="L102:L110" si="3">K102+I102+G102</f>
        <v>0</v>
      </c>
    </row>
    <row r="103" spans="1:15" s="925" customFormat="1" ht="41.4">
      <c r="A103" s="1040"/>
      <c r="B103" s="1041" t="s">
        <v>420</v>
      </c>
      <c r="C103" s="1042" t="s">
        <v>396</v>
      </c>
      <c r="D103" s="1038">
        <v>2.1</v>
      </c>
      <c r="E103" s="1118">
        <f>D103*E101</f>
        <v>13.440000000000001</v>
      </c>
      <c r="F103" s="764"/>
      <c r="G103" s="1043">
        <f>F103*E103</f>
        <v>0</v>
      </c>
      <c r="H103" s="1039"/>
      <c r="I103" s="1039"/>
      <c r="J103" s="1039"/>
      <c r="K103" s="1039"/>
      <c r="L103" s="1039">
        <f t="shared" si="3"/>
        <v>0</v>
      </c>
    </row>
    <row r="104" spans="1:15" s="939" customFormat="1">
      <c r="A104" s="1036"/>
      <c r="B104" s="1032" t="s">
        <v>397</v>
      </c>
      <c r="C104" s="1033" t="s">
        <v>398</v>
      </c>
      <c r="D104" s="1038">
        <v>2</v>
      </c>
      <c r="E104" s="1043">
        <f>D104*E101</f>
        <v>12.8</v>
      </c>
      <c r="F104" s="1034"/>
      <c r="G104" s="1043">
        <f t="shared" ref="G104:G110" si="4">F104*E104</f>
        <v>0</v>
      </c>
      <c r="H104" s="1039"/>
      <c r="I104" s="1039"/>
      <c r="J104" s="1039"/>
      <c r="K104" s="1039"/>
      <c r="L104" s="1039">
        <f t="shared" si="3"/>
        <v>0</v>
      </c>
    </row>
    <row r="105" spans="1:15" s="939" customFormat="1" ht="27.6">
      <c r="A105" s="1036"/>
      <c r="B105" s="1044" t="s">
        <v>399</v>
      </c>
      <c r="C105" s="1037" t="s">
        <v>66</v>
      </c>
      <c r="D105" s="1038">
        <v>0.8</v>
      </c>
      <c r="E105" s="1043">
        <f>D105*E101</f>
        <v>5.120000000000001</v>
      </c>
      <c r="F105" s="1043"/>
      <c r="G105" s="1043">
        <f t="shared" si="4"/>
        <v>0</v>
      </c>
      <c r="H105" s="1039"/>
      <c r="I105" s="1039"/>
      <c r="J105" s="1039"/>
      <c r="K105" s="1039"/>
      <c r="L105" s="1039">
        <f t="shared" si="3"/>
        <v>0</v>
      </c>
    </row>
    <row r="106" spans="1:15" s="939" customFormat="1">
      <c r="A106" s="1046"/>
      <c r="B106" s="1044" t="s">
        <v>400</v>
      </c>
      <c r="C106" s="1037" t="s">
        <v>62</v>
      </c>
      <c r="D106" s="1038">
        <v>1.32</v>
      </c>
      <c r="E106" s="1043">
        <f>D106*E101</f>
        <v>8.4480000000000004</v>
      </c>
      <c r="F106" s="1043"/>
      <c r="G106" s="1043">
        <f t="shared" si="4"/>
        <v>0</v>
      </c>
      <c r="H106" s="1039"/>
      <c r="I106" s="1039"/>
      <c r="J106" s="1039"/>
      <c r="K106" s="1039"/>
      <c r="L106" s="1039">
        <f t="shared" si="3"/>
        <v>0</v>
      </c>
    </row>
    <row r="107" spans="1:15" s="939" customFormat="1">
      <c r="A107" s="1046"/>
      <c r="B107" s="1044" t="s">
        <v>401</v>
      </c>
      <c r="C107" s="1037" t="s">
        <v>62</v>
      </c>
      <c r="D107" s="1047">
        <v>2.2000000000000002</v>
      </c>
      <c r="E107" s="1043">
        <f>D107*E101</f>
        <v>14.080000000000002</v>
      </c>
      <c r="F107" s="1043"/>
      <c r="G107" s="1043">
        <f t="shared" si="4"/>
        <v>0</v>
      </c>
      <c r="H107" s="1048"/>
      <c r="I107" s="1048"/>
      <c r="J107" s="1048"/>
      <c r="K107" s="1048"/>
      <c r="L107" s="1039">
        <f t="shared" si="3"/>
        <v>0</v>
      </c>
    </row>
    <row r="108" spans="1:15" s="939" customFormat="1">
      <c r="A108" s="1046"/>
      <c r="B108" s="1044" t="s">
        <v>73</v>
      </c>
      <c r="C108" s="1037" t="s">
        <v>62</v>
      </c>
      <c r="D108" s="1047">
        <v>17</v>
      </c>
      <c r="E108" s="1043">
        <f>D108*E101</f>
        <v>108.80000000000001</v>
      </c>
      <c r="F108" s="1049"/>
      <c r="G108" s="1043">
        <f t="shared" si="4"/>
        <v>0</v>
      </c>
      <c r="H108" s="1048"/>
      <c r="I108" s="1048"/>
      <c r="J108" s="1048"/>
      <c r="K108" s="1048"/>
      <c r="L108" s="1039">
        <f t="shared" si="3"/>
        <v>0</v>
      </c>
    </row>
    <row r="109" spans="1:15" s="939" customFormat="1">
      <c r="A109" s="1046"/>
      <c r="B109" s="1044" t="s">
        <v>402</v>
      </c>
      <c r="C109" s="1037" t="s">
        <v>62</v>
      </c>
      <c r="D109" s="1047">
        <v>2.7</v>
      </c>
      <c r="E109" s="1043">
        <f>D109*E101</f>
        <v>17.28</v>
      </c>
      <c r="F109" s="1043"/>
      <c r="G109" s="1043">
        <f t="shared" si="4"/>
        <v>0</v>
      </c>
      <c r="H109" s="1048"/>
      <c r="I109" s="1048"/>
      <c r="J109" s="1048"/>
      <c r="K109" s="1048"/>
      <c r="L109" s="1039">
        <f t="shared" si="3"/>
        <v>0</v>
      </c>
    </row>
    <row r="110" spans="1:15" s="939" customFormat="1" ht="27.6">
      <c r="A110" s="1036"/>
      <c r="B110" s="1044" t="s">
        <v>403</v>
      </c>
      <c r="C110" s="1037" t="s">
        <v>103</v>
      </c>
      <c r="D110" s="1038">
        <v>1.1000000000000001</v>
      </c>
      <c r="E110" s="1039">
        <f>D110*E101</f>
        <v>7.0400000000000009</v>
      </c>
      <c r="F110" s="1045"/>
      <c r="G110" s="1039">
        <f t="shared" si="4"/>
        <v>0</v>
      </c>
      <c r="H110" s="1048"/>
      <c r="I110" s="1048"/>
      <c r="J110" s="1048"/>
      <c r="K110" s="1048"/>
      <c r="L110" s="1039">
        <f t="shared" si="3"/>
        <v>0</v>
      </c>
    </row>
    <row r="111" spans="1:15" s="71" customFormat="1" ht="17.399999999999999">
      <c r="A111" s="392">
        <v>27</v>
      </c>
      <c r="B111" s="302" t="s">
        <v>84</v>
      </c>
      <c r="C111" s="311" t="s">
        <v>151</v>
      </c>
      <c r="D111" s="394"/>
      <c r="E111" s="395">
        <f>34.68+6.4</f>
        <v>41.08</v>
      </c>
      <c r="F111" s="396"/>
      <c r="G111" s="412"/>
      <c r="H111" s="396"/>
      <c r="I111" s="397"/>
      <c r="J111" s="396"/>
      <c r="K111" s="397"/>
      <c r="L111" s="432"/>
      <c r="M111" s="277"/>
      <c r="N111" s="200"/>
      <c r="O111" s="200"/>
    </row>
    <row r="112" spans="1:15" s="71" customFormat="1" ht="17.399999999999999">
      <c r="A112" s="354"/>
      <c r="B112" s="117" t="s">
        <v>72</v>
      </c>
      <c r="C112" s="1015" t="s">
        <v>142</v>
      </c>
      <c r="D112" s="611">
        <v>1</v>
      </c>
      <c r="E112" s="121">
        <f>E111*D112</f>
        <v>41.08</v>
      </c>
      <c r="F112" s="121"/>
      <c r="G112" s="70"/>
      <c r="H112" s="121"/>
      <c r="I112" s="70">
        <f>H112*E112</f>
        <v>0</v>
      </c>
      <c r="J112" s="121"/>
      <c r="K112" s="70"/>
      <c r="L112" s="70">
        <f>K112+I112+G112</f>
        <v>0</v>
      </c>
      <c r="M112" s="277"/>
      <c r="N112" s="200"/>
      <c r="O112" s="200"/>
    </row>
    <row r="113" spans="1:17" s="71" customFormat="1">
      <c r="A113" s="111"/>
      <c r="B113" s="117" t="s">
        <v>49</v>
      </c>
      <c r="C113" s="1015" t="s">
        <v>2</v>
      </c>
      <c r="D113" s="611">
        <v>0.01</v>
      </c>
      <c r="E113" s="97">
        <f>D113*E111</f>
        <v>0.4108</v>
      </c>
      <c r="F113" s="96"/>
      <c r="G113" s="123"/>
      <c r="H113" s="97"/>
      <c r="I113" s="132"/>
      <c r="J113" s="97"/>
      <c r="K113" s="123">
        <f>J113*E113</f>
        <v>0</v>
      </c>
      <c r="L113" s="123">
        <f>K113+I113+G113</f>
        <v>0</v>
      </c>
      <c r="M113" s="277"/>
      <c r="N113" s="200"/>
      <c r="O113" s="200"/>
    </row>
    <row r="114" spans="1:17" s="71" customFormat="1">
      <c r="A114" s="358"/>
      <c r="B114" s="52" t="s">
        <v>262</v>
      </c>
      <c r="C114" s="757" t="s">
        <v>58</v>
      </c>
      <c r="D114" s="262">
        <v>0.63</v>
      </c>
      <c r="E114" s="97">
        <f>D114*E111</f>
        <v>25.880399999999998</v>
      </c>
      <c r="F114" s="759"/>
      <c r="G114" s="55">
        <f>F114*E114</f>
        <v>0</v>
      </c>
      <c r="H114" s="161"/>
      <c r="I114" s="55"/>
      <c r="J114" s="161"/>
      <c r="K114" s="55"/>
      <c r="L114" s="70">
        <f>K114+I114+G114</f>
        <v>0</v>
      </c>
      <c r="M114" s="277"/>
      <c r="N114" s="200"/>
      <c r="O114" s="200"/>
    </row>
    <row r="115" spans="1:17" s="71" customFormat="1">
      <c r="A115" s="758"/>
      <c r="B115" s="745" t="s">
        <v>91</v>
      </c>
      <c r="C115" s="814" t="s">
        <v>58</v>
      </c>
      <c r="D115" s="815">
        <v>0.79</v>
      </c>
      <c r="E115" s="945">
        <f>D115*E111</f>
        <v>32.453200000000002</v>
      </c>
      <c r="F115" s="736"/>
      <c r="G115" s="739">
        <f>E115*F115</f>
        <v>0</v>
      </c>
      <c r="H115" s="131"/>
      <c r="I115" s="132"/>
      <c r="J115" s="131"/>
      <c r="K115" s="132"/>
      <c r="L115" s="70">
        <f>K115+I115+G115</f>
        <v>0</v>
      </c>
      <c r="M115" s="277"/>
      <c r="N115" s="200"/>
      <c r="O115" s="200"/>
    </row>
    <row r="116" spans="1:17" s="71" customFormat="1">
      <c r="A116" s="111"/>
      <c r="B116" s="117" t="s">
        <v>51</v>
      </c>
      <c r="C116" s="118" t="s">
        <v>2</v>
      </c>
      <c r="D116" s="113">
        <v>1.6E-2</v>
      </c>
      <c r="E116" s="97">
        <f>D116*E111</f>
        <v>0.65727999999999998</v>
      </c>
      <c r="F116" s="97"/>
      <c r="G116" s="123">
        <f>E116*F116</f>
        <v>0</v>
      </c>
      <c r="H116" s="131"/>
      <c r="I116" s="132"/>
      <c r="J116" s="131"/>
      <c r="K116" s="132"/>
      <c r="L116" s="70">
        <f>K116+I116+G116</f>
        <v>0</v>
      </c>
      <c r="M116" s="277"/>
      <c r="N116" s="200"/>
      <c r="O116" s="200"/>
    </row>
    <row r="117" spans="1:17" s="73" customFormat="1" ht="30">
      <c r="A117" s="311">
        <v>28</v>
      </c>
      <c r="B117" s="314" t="s">
        <v>80</v>
      </c>
      <c r="C117" s="311" t="s">
        <v>151</v>
      </c>
      <c r="D117" s="315"/>
      <c r="E117" s="316">
        <v>12.9</v>
      </c>
      <c r="F117" s="317"/>
      <c r="G117" s="318"/>
      <c r="H117" s="317"/>
      <c r="I117" s="318"/>
      <c r="J117" s="317"/>
      <c r="K117" s="318"/>
      <c r="L117" s="318"/>
      <c r="M117" s="277"/>
      <c r="N117" s="285"/>
      <c r="O117" s="285"/>
    </row>
    <row r="118" spans="1:17" s="71" customFormat="1">
      <c r="A118" s="354"/>
      <c r="B118" s="117" t="s">
        <v>42</v>
      </c>
      <c r="C118" s="354" t="s">
        <v>43</v>
      </c>
      <c r="D118" s="119">
        <v>1.0246</v>
      </c>
      <c r="E118" s="120">
        <f>D118*E117</f>
        <v>13.21734</v>
      </c>
      <c r="F118" s="121"/>
      <c r="G118" s="70"/>
      <c r="H118" s="121"/>
      <c r="I118" s="70">
        <f>H118*E118</f>
        <v>0</v>
      </c>
      <c r="J118" s="121"/>
      <c r="K118" s="70"/>
      <c r="L118" s="70">
        <f>K118+I118+G118</f>
        <v>0</v>
      </c>
      <c r="M118" s="277"/>
      <c r="N118" s="200"/>
      <c r="O118" s="200"/>
    </row>
    <row r="119" spans="1:17" s="71" customFormat="1">
      <c r="A119" s="354"/>
      <c r="B119" s="117" t="s">
        <v>49</v>
      </c>
      <c r="C119" s="354" t="s">
        <v>2</v>
      </c>
      <c r="D119" s="119">
        <v>3.8999999999999998E-3</v>
      </c>
      <c r="E119" s="120">
        <f>D119*E117</f>
        <v>5.0310000000000001E-2</v>
      </c>
      <c r="F119" s="121"/>
      <c r="G119" s="70"/>
      <c r="H119" s="121"/>
      <c r="I119" s="70"/>
      <c r="J119" s="121"/>
      <c r="K119" s="170">
        <f>J119*E119</f>
        <v>0</v>
      </c>
      <c r="L119" s="170">
        <f>K119+I119+G119</f>
        <v>0</v>
      </c>
      <c r="M119" s="277"/>
      <c r="N119" s="200"/>
      <c r="O119" s="200"/>
    </row>
    <row r="120" spans="1:17" s="71" customFormat="1" ht="17.399999999999999">
      <c r="A120" s="165"/>
      <c r="B120" s="52" t="s">
        <v>81</v>
      </c>
      <c r="C120" s="354" t="s">
        <v>142</v>
      </c>
      <c r="D120" s="221">
        <v>1.03</v>
      </c>
      <c r="E120" s="97">
        <f>D120*E117</f>
        <v>13.287000000000001</v>
      </c>
      <c r="F120" s="1082"/>
      <c r="G120" s="219">
        <f>F120*E120</f>
        <v>0</v>
      </c>
      <c r="H120" s="220"/>
      <c r="I120" s="219"/>
      <c r="J120" s="220"/>
      <c r="K120" s="219"/>
      <c r="L120" s="70">
        <f>K120+I120+G120</f>
        <v>0</v>
      </c>
      <c r="M120" s="277"/>
      <c r="N120" s="200"/>
      <c r="O120" s="200"/>
    </row>
    <row r="121" spans="1:17" s="71" customFormat="1">
      <c r="A121" s="176"/>
      <c r="B121" s="52" t="s">
        <v>51</v>
      </c>
      <c r="C121" s="354" t="s">
        <v>2</v>
      </c>
      <c r="D121" s="357">
        <v>1.6E-2</v>
      </c>
      <c r="E121" s="97">
        <f>D121*E117</f>
        <v>0.2064</v>
      </c>
      <c r="F121" s="121"/>
      <c r="G121" s="70">
        <f>F121*E121</f>
        <v>0</v>
      </c>
      <c r="H121" s="161"/>
      <c r="I121" s="55"/>
      <c r="J121" s="161"/>
      <c r="K121" s="55"/>
      <c r="L121" s="70">
        <f>K121+I121+G121</f>
        <v>0</v>
      </c>
      <c r="M121" s="277"/>
      <c r="N121" s="200"/>
      <c r="O121" s="200"/>
    </row>
    <row r="122" spans="1:17" s="756" customFormat="1" ht="30">
      <c r="A122" s="740">
        <v>29</v>
      </c>
      <c r="B122" s="741" t="s">
        <v>421</v>
      </c>
      <c r="C122" s="721" t="s">
        <v>151</v>
      </c>
      <c r="D122" s="742"/>
      <c r="E122" s="957">
        <v>12.9</v>
      </c>
      <c r="F122" s="742"/>
      <c r="G122" s="741"/>
      <c r="H122" s="743"/>
      <c r="I122" s="742"/>
      <c r="J122" s="743"/>
      <c r="K122" s="742"/>
      <c r="L122" s="740"/>
    </row>
    <row r="123" spans="1:17" s="372" customFormat="1" ht="22.05" customHeight="1">
      <c r="A123" s="725"/>
      <c r="B123" s="726" t="s">
        <v>72</v>
      </c>
      <c r="C123" s="725" t="s">
        <v>155</v>
      </c>
      <c r="D123" s="729">
        <v>1</v>
      </c>
      <c r="E123" s="729">
        <f>E122*D123</f>
        <v>12.9</v>
      </c>
      <c r="F123" s="725"/>
      <c r="G123" s="725"/>
      <c r="H123" s="729"/>
      <c r="I123" s="732">
        <f>H123*E123</f>
        <v>0</v>
      </c>
      <c r="J123" s="725"/>
      <c r="K123" s="725"/>
      <c r="L123" s="732">
        <f t="shared" ref="L123:L125" si="5">K123+I123+G123</f>
        <v>0</v>
      </c>
    </row>
    <row r="124" spans="1:17" s="372" customFormat="1" ht="13.5" customHeight="1">
      <c r="A124" s="758"/>
      <c r="B124" s="745" t="s">
        <v>262</v>
      </c>
      <c r="C124" s="757" t="s">
        <v>58</v>
      </c>
      <c r="D124" s="725">
        <v>0.63</v>
      </c>
      <c r="E124" s="769">
        <f>D124*E122</f>
        <v>8.1270000000000007</v>
      </c>
      <c r="F124" s="759"/>
      <c r="G124" s="746">
        <f>F124*E124</f>
        <v>0</v>
      </c>
      <c r="H124" s="746"/>
      <c r="I124" s="745"/>
      <c r="J124" s="746"/>
      <c r="K124" s="745"/>
      <c r="L124" s="729">
        <f t="shared" si="5"/>
        <v>0</v>
      </c>
    </row>
    <row r="125" spans="1:17" s="71" customFormat="1">
      <c r="A125" s="733"/>
      <c r="B125" s="749" t="s">
        <v>51</v>
      </c>
      <c r="C125" s="727" t="s">
        <v>2</v>
      </c>
      <c r="D125" s="735">
        <v>1.7999999999999999E-2</v>
      </c>
      <c r="E125" s="755">
        <f>D125*E122</f>
        <v>0.23219999999999999</v>
      </c>
      <c r="F125" s="755"/>
      <c r="G125" s="739">
        <f>E125*F125</f>
        <v>0</v>
      </c>
      <c r="H125" s="738"/>
      <c r="I125" s="737"/>
      <c r="J125" s="738"/>
      <c r="K125" s="737"/>
      <c r="L125" s="729">
        <f t="shared" si="5"/>
        <v>0</v>
      </c>
      <c r="M125" s="200"/>
      <c r="N125" s="200"/>
      <c r="O125" s="277"/>
      <c r="P125" s="200"/>
      <c r="Q125" s="200"/>
    </row>
    <row r="126" spans="1:17" s="401" customFormat="1" ht="27" customHeight="1">
      <c r="A126" s="363">
        <v>30</v>
      </c>
      <c r="B126" s="363" t="s">
        <v>87</v>
      </c>
      <c r="C126" s="363" t="s">
        <v>151</v>
      </c>
      <c r="D126" s="363"/>
      <c r="E126" s="400">
        <v>12.9</v>
      </c>
      <c r="F126" s="373"/>
      <c r="G126" s="373"/>
      <c r="H126" s="373"/>
      <c r="I126" s="373"/>
      <c r="J126" s="373"/>
      <c r="K126" s="373"/>
      <c r="L126" s="373"/>
    </row>
    <row r="127" spans="1:17" s="402" customFormat="1" ht="17.399999999999999">
      <c r="A127" s="360"/>
      <c r="B127" s="383" t="s">
        <v>42</v>
      </c>
      <c r="C127" s="1015" t="s">
        <v>142</v>
      </c>
      <c r="D127" s="384">
        <v>1</v>
      </c>
      <c r="E127" s="1119">
        <f>D127*E126</f>
        <v>12.9</v>
      </c>
      <c r="F127" s="361"/>
      <c r="G127" s="361"/>
      <c r="H127" s="361"/>
      <c r="I127" s="361">
        <f>H127*E127</f>
        <v>0</v>
      </c>
      <c r="J127" s="361"/>
      <c r="K127" s="361"/>
      <c r="L127" s="361">
        <f>K127+I127+G127</f>
        <v>0</v>
      </c>
    </row>
    <row r="128" spans="1:17" s="402" customFormat="1">
      <c r="A128" s="360"/>
      <c r="B128" s="383" t="s">
        <v>49</v>
      </c>
      <c r="C128" s="384" t="s">
        <v>2</v>
      </c>
      <c r="D128" s="391">
        <f>(0.95+4*0.23)/100</f>
        <v>1.8700000000000001E-2</v>
      </c>
      <c r="E128" s="388">
        <f>D128*E126</f>
        <v>0.24123000000000003</v>
      </c>
      <c r="F128" s="361"/>
      <c r="G128" s="361"/>
      <c r="H128" s="361"/>
      <c r="I128" s="361"/>
      <c r="J128" s="361"/>
      <c r="K128" s="361">
        <f>E128*J128</f>
        <v>0</v>
      </c>
      <c r="L128" s="361">
        <f>K128+I128+G128</f>
        <v>0</v>
      </c>
    </row>
    <row r="129" spans="1:17" s="402" customFormat="1" ht="17.399999999999999">
      <c r="A129" s="360"/>
      <c r="B129" s="404" t="s">
        <v>88</v>
      </c>
      <c r="C129" s="384" t="s">
        <v>143</v>
      </c>
      <c r="D129" s="405">
        <f>(2.04+4*0.51)/100</f>
        <v>4.0800000000000003E-2</v>
      </c>
      <c r="E129" s="361">
        <f>D129*E126</f>
        <v>0.52632000000000001</v>
      </c>
      <c r="F129" s="403"/>
      <c r="G129" s="361">
        <f>F129*E129</f>
        <v>0</v>
      </c>
      <c r="H129" s="361"/>
      <c r="I129" s="361"/>
      <c r="J129" s="361"/>
      <c r="K129" s="361"/>
      <c r="L129" s="361">
        <f>K129+I129+G129</f>
        <v>0</v>
      </c>
    </row>
    <row r="130" spans="1:17" s="402" customFormat="1" ht="15" customHeight="1">
      <c r="A130" s="360"/>
      <c r="B130" s="383" t="s">
        <v>51</v>
      </c>
      <c r="C130" s="384" t="s">
        <v>2</v>
      </c>
      <c r="D130" s="405">
        <v>6.3600000000000004E-2</v>
      </c>
      <c r="E130" s="361">
        <f>D130*E126</f>
        <v>0.82044000000000006</v>
      </c>
      <c r="F130" s="361"/>
      <c r="G130" s="361">
        <f>F130*E130</f>
        <v>0</v>
      </c>
      <c r="H130" s="361"/>
      <c r="I130" s="361"/>
      <c r="J130" s="361"/>
      <c r="K130" s="361"/>
      <c r="L130" s="361">
        <f>K130+I130+G130</f>
        <v>0</v>
      </c>
    </row>
    <row r="131" spans="1:17" s="9" customFormat="1" ht="30">
      <c r="A131" s="311">
        <v>31</v>
      </c>
      <c r="B131" s="302" t="s">
        <v>89</v>
      </c>
      <c r="C131" s="311" t="s">
        <v>151</v>
      </c>
      <c r="D131" s="301"/>
      <c r="E131" s="395">
        <v>12.9</v>
      </c>
      <c r="F131" s="317"/>
      <c r="G131" s="318"/>
      <c r="H131" s="317"/>
      <c r="I131" s="318"/>
      <c r="J131" s="317"/>
      <c r="K131" s="318"/>
      <c r="L131" s="318"/>
      <c r="M131" s="277"/>
      <c r="N131" s="215"/>
      <c r="O131" s="215"/>
    </row>
    <row r="132" spans="1:17" s="75" customFormat="1" ht="17.399999999999999">
      <c r="A132" s="1015"/>
      <c r="B132" s="117" t="s">
        <v>42</v>
      </c>
      <c r="C132" s="1015" t="s">
        <v>142</v>
      </c>
      <c r="D132" s="119">
        <v>1</v>
      </c>
      <c r="E132" s="120">
        <f>D132*E131</f>
        <v>12.9</v>
      </c>
      <c r="F132" s="121"/>
      <c r="G132" s="70"/>
      <c r="H132" s="275"/>
      <c r="I132" s="70">
        <f>H132*E132</f>
        <v>0</v>
      </c>
      <c r="J132" s="121"/>
      <c r="K132" s="70"/>
      <c r="L132" s="70">
        <f t="shared" ref="L132:L137" si="6">K132+I132+G132</f>
        <v>0</v>
      </c>
      <c r="M132" s="277"/>
      <c r="N132" s="287"/>
      <c r="O132" s="287"/>
    </row>
    <row r="133" spans="1:17" s="75" customFormat="1">
      <c r="A133" s="1015"/>
      <c r="B133" s="117" t="s">
        <v>49</v>
      </c>
      <c r="C133" s="118" t="s">
        <v>2</v>
      </c>
      <c r="D133" s="130">
        <v>4.5199999999999997E-2</v>
      </c>
      <c r="E133" s="1117">
        <f>D133*E131</f>
        <v>0.58307999999999993</v>
      </c>
      <c r="F133" s="121"/>
      <c r="G133" s="70"/>
      <c r="H133" s="121"/>
      <c r="I133" s="70"/>
      <c r="J133" s="121"/>
      <c r="K133" s="70">
        <f>E133*J133</f>
        <v>0</v>
      </c>
      <c r="L133" s="70">
        <f t="shared" si="6"/>
        <v>0</v>
      </c>
      <c r="M133" s="277"/>
      <c r="N133" s="287"/>
      <c r="O133" s="287"/>
    </row>
    <row r="134" spans="1:17" s="71" customFormat="1" ht="28.2">
      <c r="A134" s="733"/>
      <c r="B134" s="749" t="s">
        <v>430</v>
      </c>
      <c r="C134" s="725" t="s">
        <v>155</v>
      </c>
      <c r="D134" s="774">
        <v>1.02</v>
      </c>
      <c r="E134" s="755">
        <f>D134*E131</f>
        <v>13.158000000000001</v>
      </c>
      <c r="F134" s="755"/>
      <c r="G134" s="739">
        <f>F134*E134</f>
        <v>0</v>
      </c>
      <c r="H134" s="755"/>
      <c r="I134" s="737"/>
      <c r="J134" s="738"/>
      <c r="K134" s="737"/>
      <c r="L134" s="739">
        <f t="shared" si="6"/>
        <v>0</v>
      </c>
      <c r="M134" s="200"/>
      <c r="N134" s="284"/>
      <c r="O134" s="277"/>
      <c r="P134" s="200"/>
      <c r="Q134" s="200"/>
    </row>
    <row r="135" spans="1:17" s="20" customFormat="1">
      <c r="A135" s="491"/>
      <c r="B135" s="172" t="s">
        <v>85</v>
      </c>
      <c r="C135" s="160" t="s">
        <v>58</v>
      </c>
      <c r="D135" s="611">
        <v>6.25</v>
      </c>
      <c r="E135" s="97">
        <f>D135*E131</f>
        <v>80.625</v>
      </c>
      <c r="F135" s="121"/>
      <c r="G135" s="70">
        <f t="shared" ref="G135:G137" si="7">F135*E135</f>
        <v>0</v>
      </c>
      <c r="H135" s="121"/>
      <c r="I135" s="70"/>
      <c r="J135" s="121"/>
      <c r="K135" s="70"/>
      <c r="L135" s="70">
        <f t="shared" si="6"/>
        <v>0</v>
      </c>
      <c r="M135" s="277"/>
      <c r="N135" s="43"/>
      <c r="O135" s="43"/>
    </row>
    <row r="136" spans="1:17" s="20" customFormat="1">
      <c r="A136" s="491"/>
      <c r="B136" s="171" t="s">
        <v>90</v>
      </c>
      <c r="C136" s="160" t="s">
        <v>58</v>
      </c>
      <c r="D136" s="611">
        <v>0.2</v>
      </c>
      <c r="E136" s="97">
        <f>D136*E131</f>
        <v>2.58</v>
      </c>
      <c r="F136" s="121"/>
      <c r="G136" s="70">
        <f t="shared" si="7"/>
        <v>0</v>
      </c>
      <c r="H136" s="121"/>
      <c r="I136" s="70"/>
      <c r="J136" s="121"/>
      <c r="K136" s="70"/>
      <c r="L136" s="70">
        <f t="shared" si="6"/>
        <v>0</v>
      </c>
      <c r="M136" s="277"/>
      <c r="N136" s="43"/>
      <c r="O136" s="43"/>
    </row>
    <row r="137" spans="1:17" s="72" customFormat="1">
      <c r="A137" s="154"/>
      <c r="B137" s="117" t="s">
        <v>51</v>
      </c>
      <c r="C137" s="118" t="s">
        <v>2</v>
      </c>
      <c r="D137" s="158">
        <v>4.6600000000000003E-2</v>
      </c>
      <c r="E137" s="159">
        <f>D137*E131</f>
        <v>0.60114000000000001</v>
      </c>
      <c r="F137" s="155"/>
      <c r="G137" s="123">
        <f t="shared" si="7"/>
        <v>0</v>
      </c>
      <c r="H137" s="159"/>
      <c r="I137" s="156"/>
      <c r="J137" s="157"/>
      <c r="K137" s="156"/>
      <c r="L137" s="123">
        <f t="shared" si="6"/>
        <v>0</v>
      </c>
      <c r="M137" s="277"/>
      <c r="N137" s="284"/>
      <c r="O137" s="284"/>
    </row>
    <row r="138" spans="1:17" s="390" customFormat="1" ht="30">
      <c r="A138" s="721">
        <v>32</v>
      </c>
      <c r="B138" s="722" t="s">
        <v>374</v>
      </c>
      <c r="C138" s="303" t="s">
        <v>142</v>
      </c>
      <c r="D138" s="821"/>
      <c r="E138" s="1022">
        <v>40.299999999999997</v>
      </c>
      <c r="F138" s="724"/>
      <c r="G138" s="724"/>
      <c r="H138" s="724"/>
      <c r="I138" s="724"/>
      <c r="J138" s="724"/>
      <c r="K138" s="724"/>
      <c r="L138" s="724"/>
    </row>
    <row r="139" spans="1:17" s="1078" customFormat="1" ht="17.399999999999999">
      <c r="A139" s="725"/>
      <c r="B139" s="749" t="s">
        <v>42</v>
      </c>
      <c r="C139" s="725" t="s">
        <v>142</v>
      </c>
      <c r="D139" s="794">
        <v>1</v>
      </c>
      <c r="E139" s="765">
        <f>D139*E138</f>
        <v>40.299999999999997</v>
      </c>
      <c r="F139" s="736"/>
      <c r="G139" s="729"/>
      <c r="H139" s="736"/>
      <c r="I139" s="729">
        <f>H139*E139</f>
        <v>0</v>
      </c>
      <c r="J139" s="736"/>
      <c r="K139" s="729"/>
      <c r="L139" s="729">
        <f t="shared" ref="L139:L140" si="8">K139+I139+G139</f>
        <v>0</v>
      </c>
      <c r="M139" s="1077"/>
      <c r="N139" s="200"/>
      <c r="O139" s="277"/>
      <c r="P139" s="1077"/>
      <c r="Q139" s="1077"/>
    </row>
    <row r="140" spans="1:17" s="1080" customFormat="1">
      <c r="A140" s="725"/>
      <c r="B140" s="749" t="s">
        <v>375</v>
      </c>
      <c r="C140" s="727" t="s">
        <v>2</v>
      </c>
      <c r="D140" s="774">
        <v>4.2500000000000003E-2</v>
      </c>
      <c r="E140" s="762">
        <f>D140*E138</f>
        <v>1.71275</v>
      </c>
      <c r="F140" s="736"/>
      <c r="G140" s="729"/>
      <c r="H140" s="736"/>
      <c r="I140" s="729"/>
      <c r="J140" s="736"/>
      <c r="K140" s="729">
        <f>E140*J140</f>
        <v>0</v>
      </c>
      <c r="L140" s="729">
        <f t="shared" si="8"/>
        <v>0</v>
      </c>
      <c r="M140" s="1079"/>
      <c r="N140" s="200"/>
      <c r="O140" s="277"/>
      <c r="P140" s="1079"/>
      <c r="Q140" s="1079"/>
    </row>
    <row r="141" spans="1:17" s="1080" customFormat="1" ht="17.399999999999999">
      <c r="A141" s="725"/>
      <c r="B141" s="749" t="s">
        <v>419</v>
      </c>
      <c r="C141" s="725" t="s">
        <v>142</v>
      </c>
      <c r="D141" s="774">
        <v>1.05</v>
      </c>
      <c r="E141" s="762">
        <f>D141*E138</f>
        <v>42.314999999999998</v>
      </c>
      <c r="F141" s="736"/>
      <c r="G141" s="729">
        <f>E141*F141</f>
        <v>0</v>
      </c>
      <c r="H141" s="729"/>
      <c r="I141" s="729"/>
      <c r="J141" s="729"/>
      <c r="K141" s="729"/>
      <c r="L141" s="729">
        <f>K141+I141+G141</f>
        <v>0</v>
      </c>
      <c r="M141" s="1079"/>
      <c r="N141" s="200"/>
      <c r="O141" s="277"/>
      <c r="P141" s="1079"/>
      <c r="Q141" s="1079"/>
    </row>
    <row r="142" spans="1:17" s="244" customFormat="1" ht="16.2">
      <c r="A142" s="725"/>
      <c r="B142" s="730" t="s">
        <v>85</v>
      </c>
      <c r="C142" s="727" t="s">
        <v>58</v>
      </c>
      <c r="D142" s="731">
        <v>12.5</v>
      </c>
      <c r="E142" s="729">
        <f>D142*E138</f>
        <v>503.74999999999994</v>
      </c>
      <c r="F142" s="729"/>
      <c r="G142" s="729">
        <f>E142*F142</f>
        <v>0</v>
      </c>
      <c r="H142" s="729"/>
      <c r="I142" s="729"/>
      <c r="J142" s="729"/>
      <c r="K142" s="729"/>
      <c r="L142" s="729">
        <f>K142+I142+G142</f>
        <v>0</v>
      </c>
    </row>
    <row r="143" spans="1:17" s="377" customFormat="1">
      <c r="A143" s="725"/>
      <c r="B143" s="726" t="s">
        <v>51</v>
      </c>
      <c r="C143" s="727" t="s">
        <v>2</v>
      </c>
      <c r="D143" s="747">
        <v>5.4600000000000003E-2</v>
      </c>
      <c r="E143" s="748">
        <f>D143*E138</f>
        <v>2.20038</v>
      </c>
      <c r="F143" s="729"/>
      <c r="G143" s="729">
        <f>E143*F143</f>
        <v>0</v>
      </c>
      <c r="H143" s="729"/>
      <c r="I143" s="729"/>
      <c r="J143" s="729"/>
      <c r="K143" s="729"/>
      <c r="L143" s="729">
        <f>K143+I143+G143</f>
        <v>0</v>
      </c>
    </row>
    <row r="144" spans="1:17" s="10" customFormat="1" ht="32.4" customHeight="1">
      <c r="A144" s="392">
        <v>33</v>
      </c>
      <c r="B144" s="310" t="s">
        <v>438</v>
      </c>
      <c r="C144" s="311" t="s">
        <v>151</v>
      </c>
      <c r="D144" s="406"/>
      <c r="E144" s="395">
        <f>0.83*1.85</f>
        <v>1.5355000000000001</v>
      </c>
      <c r="F144" s="407"/>
      <c r="G144" s="408"/>
      <c r="H144" s="407"/>
      <c r="I144" s="408"/>
      <c r="J144" s="407"/>
      <c r="K144" s="408"/>
      <c r="L144" s="408"/>
      <c r="M144" s="277"/>
      <c r="N144" s="44"/>
      <c r="O144" s="44"/>
    </row>
    <row r="145" spans="1:17" s="71" customFormat="1">
      <c r="A145" s="165"/>
      <c r="B145" s="117" t="s">
        <v>72</v>
      </c>
      <c r="C145" s="1081" t="s">
        <v>62</v>
      </c>
      <c r="D145" s="611">
        <v>1</v>
      </c>
      <c r="E145" s="97">
        <f>D145*E144</f>
        <v>1.5355000000000001</v>
      </c>
      <c r="F145" s="137"/>
      <c r="G145" s="141"/>
      <c r="H145" s="137"/>
      <c r="I145" s="141">
        <f>H145*E145</f>
        <v>0</v>
      </c>
      <c r="J145" s="137"/>
      <c r="K145" s="141"/>
      <c r="L145" s="141">
        <f>K145+I145+G145</f>
        <v>0</v>
      </c>
      <c r="M145" s="277"/>
      <c r="N145" s="200"/>
      <c r="O145" s="200"/>
    </row>
    <row r="146" spans="1:17" s="71" customFormat="1">
      <c r="A146" s="145"/>
      <c r="B146" s="117" t="s">
        <v>49</v>
      </c>
      <c r="C146" s="610" t="s">
        <v>2</v>
      </c>
      <c r="D146" s="611">
        <v>0.13</v>
      </c>
      <c r="E146" s="97">
        <f>D146*E144</f>
        <v>0.19961500000000001</v>
      </c>
      <c r="F146" s="139"/>
      <c r="G146" s="140"/>
      <c r="H146" s="175"/>
      <c r="I146" s="138"/>
      <c r="J146" s="175"/>
      <c r="K146" s="138">
        <f>E146*J146</f>
        <v>0</v>
      </c>
      <c r="L146" s="138">
        <f>K146+I146+G146</f>
        <v>0</v>
      </c>
      <c r="M146" s="277"/>
      <c r="N146" s="200"/>
      <c r="O146" s="200"/>
    </row>
    <row r="147" spans="1:17" s="10" customFormat="1" ht="28.8">
      <c r="A147" s="165"/>
      <c r="B147" s="177" t="s">
        <v>439</v>
      </c>
      <c r="C147" s="610" t="s">
        <v>62</v>
      </c>
      <c r="D147" s="221"/>
      <c r="E147" s="97">
        <v>1</v>
      </c>
      <c r="F147" s="137"/>
      <c r="G147" s="141">
        <f>E147*F147</f>
        <v>0</v>
      </c>
      <c r="H147" s="137"/>
      <c r="I147" s="141"/>
      <c r="J147" s="137"/>
      <c r="K147" s="141"/>
      <c r="L147" s="141">
        <f>K147+I147+G147</f>
        <v>0</v>
      </c>
      <c r="M147" s="277"/>
      <c r="N147" s="44"/>
      <c r="O147" s="44"/>
    </row>
    <row r="148" spans="1:17" s="71" customFormat="1">
      <c r="A148" s="145"/>
      <c r="B148" s="117" t="s">
        <v>51</v>
      </c>
      <c r="C148" s="118" t="s">
        <v>2</v>
      </c>
      <c r="D148" s="611">
        <v>2.06E-2</v>
      </c>
      <c r="E148" s="97">
        <f>D148*E144</f>
        <v>3.1631300000000001E-2</v>
      </c>
      <c r="F148" s="175"/>
      <c r="G148" s="138">
        <f>E148*F148</f>
        <v>0</v>
      </c>
      <c r="H148" s="175"/>
      <c r="I148" s="138"/>
      <c r="J148" s="175"/>
      <c r="K148" s="138"/>
      <c r="L148" s="138">
        <f>K148+I148+G148</f>
        <v>0</v>
      </c>
      <c r="M148" s="277"/>
      <c r="N148" s="200"/>
      <c r="O148" s="200"/>
    </row>
    <row r="149" spans="1:17" s="11" customFormat="1" ht="30">
      <c r="A149" s="392">
        <v>34</v>
      </c>
      <c r="B149" s="302" t="s">
        <v>205</v>
      </c>
      <c r="C149" s="311" t="s">
        <v>151</v>
      </c>
      <c r="D149" s="301"/>
      <c r="E149" s="393">
        <v>15.36</v>
      </c>
      <c r="F149" s="317"/>
      <c r="G149" s="318"/>
      <c r="H149" s="317"/>
      <c r="I149" s="318"/>
      <c r="J149" s="317"/>
      <c r="K149" s="318"/>
      <c r="L149" s="318"/>
      <c r="M149" s="69"/>
      <c r="N149" s="69"/>
      <c r="O149" s="69"/>
    </row>
    <row r="150" spans="1:17" s="12" customFormat="1" ht="17.399999999999999">
      <c r="A150" s="354"/>
      <c r="B150" s="117" t="s">
        <v>42</v>
      </c>
      <c r="C150" s="954" t="s">
        <v>142</v>
      </c>
      <c r="D150" s="611">
        <v>1</v>
      </c>
      <c r="E150" s="120">
        <f>D150*E149</f>
        <v>15.36</v>
      </c>
      <c r="F150" s="121"/>
      <c r="G150" s="70"/>
      <c r="H150" s="121"/>
      <c r="I150" s="70">
        <f>H150*E150</f>
        <v>0</v>
      </c>
      <c r="J150" s="121"/>
      <c r="K150" s="70"/>
      <c r="L150" s="70">
        <f>K150+I150+G150</f>
        <v>0</v>
      </c>
      <c r="M150" s="192"/>
      <c r="N150" s="192"/>
      <c r="O150" s="192"/>
    </row>
    <row r="151" spans="1:17" s="12" customFormat="1">
      <c r="A151" s="354"/>
      <c r="B151" s="117" t="s">
        <v>45</v>
      </c>
      <c r="C151" s="118" t="s">
        <v>2</v>
      </c>
      <c r="D151" s="130">
        <f>0.027</f>
        <v>2.7E-2</v>
      </c>
      <c r="E151" s="1117">
        <f>D151*E149</f>
        <v>0.41471999999999998</v>
      </c>
      <c r="F151" s="121"/>
      <c r="G151" s="70"/>
      <c r="H151" s="121"/>
      <c r="I151" s="70"/>
      <c r="J151" s="121"/>
      <c r="K151" s="70">
        <f>E151*J151</f>
        <v>0</v>
      </c>
      <c r="L151" s="70">
        <f>K151+I151+G151</f>
        <v>0</v>
      </c>
      <c r="M151" s="192"/>
      <c r="N151" s="192"/>
      <c r="O151" s="192"/>
    </row>
    <row r="152" spans="1:17" s="6" customFormat="1" ht="17.399999999999999">
      <c r="A152" s="354"/>
      <c r="B152" s="52" t="s">
        <v>83</v>
      </c>
      <c r="C152" s="118" t="s">
        <v>143</v>
      </c>
      <c r="D152" s="611">
        <f>0.0238*1.05</f>
        <v>2.4990000000000002E-2</v>
      </c>
      <c r="E152" s="121">
        <f>D152*E149</f>
        <v>0.38384640000000003</v>
      </c>
      <c r="F152" s="729"/>
      <c r="G152" s="729">
        <f>E152*F152</f>
        <v>0</v>
      </c>
      <c r="H152" s="729"/>
      <c r="I152" s="729"/>
      <c r="J152" s="729"/>
      <c r="K152" s="729"/>
      <c r="L152" s="729">
        <f>K152+I152+G152</f>
        <v>0</v>
      </c>
      <c r="M152" s="244"/>
      <c r="N152" s="244"/>
      <c r="O152" s="244"/>
    </row>
    <row r="153" spans="1:17" s="12" customFormat="1">
      <c r="A153" s="354"/>
      <c r="B153" s="117" t="s">
        <v>51</v>
      </c>
      <c r="C153" s="118" t="s">
        <v>2</v>
      </c>
      <c r="D153" s="130">
        <v>3.0000000000000001E-3</v>
      </c>
      <c r="E153" s="1117">
        <f>D153*E149</f>
        <v>4.6079999999999996E-2</v>
      </c>
      <c r="F153" s="121"/>
      <c r="G153" s="70">
        <f>E153*F153</f>
        <v>0</v>
      </c>
      <c r="H153" s="121"/>
      <c r="I153" s="70"/>
      <c r="J153" s="121"/>
      <c r="K153" s="70"/>
      <c r="L153" s="70">
        <f>K153+I153+G153</f>
        <v>0</v>
      </c>
      <c r="M153" s="192"/>
      <c r="N153" s="192"/>
      <c r="O153" s="192"/>
    </row>
    <row r="154" spans="1:17" s="71" customFormat="1" ht="45">
      <c r="A154" s="392">
        <v>35</v>
      </c>
      <c r="B154" s="302" t="s">
        <v>389</v>
      </c>
      <c r="C154" s="311" t="s">
        <v>151</v>
      </c>
      <c r="D154" s="394"/>
      <c r="E154" s="395">
        <v>15.36</v>
      </c>
      <c r="F154" s="396"/>
      <c r="G154" s="397"/>
      <c r="H154" s="396"/>
      <c r="I154" s="397"/>
      <c r="J154" s="396"/>
      <c r="K154" s="397"/>
      <c r="L154" s="397"/>
      <c r="M154" s="277"/>
      <c r="N154" s="200"/>
      <c r="O154" s="200"/>
    </row>
    <row r="155" spans="1:17" s="71" customFormat="1" ht="17.399999999999999">
      <c r="A155" s="111"/>
      <c r="B155" s="117" t="s">
        <v>72</v>
      </c>
      <c r="C155" s="954" t="s">
        <v>142</v>
      </c>
      <c r="D155" s="113">
        <v>1</v>
      </c>
      <c r="E155" s="120">
        <f>D155*E154</f>
        <v>15.36</v>
      </c>
      <c r="F155" s="131"/>
      <c r="G155" s="132"/>
      <c r="H155" s="275"/>
      <c r="I155" s="123">
        <f>H155*E155</f>
        <v>0</v>
      </c>
      <c r="J155" s="131"/>
      <c r="K155" s="132"/>
      <c r="L155" s="123">
        <f t="shared" ref="L155:L161" si="9">K155+I155+G155</f>
        <v>0</v>
      </c>
      <c r="M155" s="277"/>
      <c r="N155" s="200"/>
      <c r="O155" s="200"/>
    </row>
    <row r="156" spans="1:17" s="71" customFormat="1">
      <c r="A156" s="111"/>
      <c r="B156" s="117" t="s">
        <v>49</v>
      </c>
      <c r="C156" s="354" t="s">
        <v>67</v>
      </c>
      <c r="D156" s="611">
        <v>0.02</v>
      </c>
      <c r="E156" s="97">
        <f>D156*E154</f>
        <v>0.30719999999999997</v>
      </c>
      <c r="F156" s="174"/>
      <c r="G156" s="132"/>
      <c r="H156" s="97"/>
      <c r="I156" s="132"/>
      <c r="J156" s="97"/>
      <c r="K156" s="123">
        <f>J156*E156</f>
        <v>0</v>
      </c>
      <c r="L156" s="123">
        <f t="shared" si="9"/>
        <v>0</v>
      </c>
      <c r="M156" s="277"/>
      <c r="N156" s="200"/>
      <c r="O156" s="200"/>
    </row>
    <row r="157" spans="1:17" s="71" customFormat="1" ht="28.2">
      <c r="A157" s="733"/>
      <c r="B157" s="749" t="s">
        <v>436</v>
      </c>
      <c r="C157" s="725" t="s">
        <v>155</v>
      </c>
      <c r="D157" s="735">
        <v>1.02</v>
      </c>
      <c r="E157" s="755">
        <f>3.88*1.02</f>
        <v>3.9575999999999998</v>
      </c>
      <c r="F157" s="755"/>
      <c r="G157" s="739">
        <f>F157*E157</f>
        <v>0</v>
      </c>
      <c r="H157" s="755"/>
      <c r="I157" s="737"/>
      <c r="J157" s="738"/>
      <c r="K157" s="737"/>
      <c r="L157" s="739">
        <f t="shared" si="9"/>
        <v>0</v>
      </c>
      <c r="M157" s="200"/>
      <c r="N157" s="200"/>
      <c r="O157" s="277"/>
      <c r="P157" s="200"/>
      <c r="Q157" s="200"/>
    </row>
    <row r="158" spans="1:17" s="71" customFormat="1" ht="41.4">
      <c r="A158" s="733"/>
      <c r="B158" s="749" t="s">
        <v>437</v>
      </c>
      <c r="C158" s="725" t="s">
        <v>155</v>
      </c>
      <c r="D158" s="735">
        <v>1.02</v>
      </c>
      <c r="E158" s="755">
        <f>D158*E155-E157</f>
        <v>11.7096</v>
      </c>
      <c r="F158" s="755"/>
      <c r="G158" s="739">
        <f>F158*E158</f>
        <v>0</v>
      </c>
      <c r="H158" s="755"/>
      <c r="I158" s="737"/>
      <c r="J158" s="738"/>
      <c r="K158" s="737"/>
      <c r="L158" s="739">
        <f t="shared" si="9"/>
        <v>0</v>
      </c>
      <c r="M158" s="200"/>
      <c r="N158" s="200"/>
      <c r="O158" s="277"/>
      <c r="P158" s="200"/>
      <c r="Q158" s="200"/>
    </row>
    <row r="159" spans="1:17" s="71" customFormat="1">
      <c r="A159" s="111"/>
      <c r="B159" s="171" t="s">
        <v>85</v>
      </c>
      <c r="C159" s="160" t="s">
        <v>58</v>
      </c>
      <c r="D159" s="611">
        <v>6.25</v>
      </c>
      <c r="E159" s="97">
        <f>D159*E154</f>
        <v>96</v>
      </c>
      <c r="F159" s="121"/>
      <c r="G159" s="123">
        <f>F159*E159</f>
        <v>0</v>
      </c>
      <c r="H159" s="97"/>
      <c r="I159" s="132"/>
      <c r="J159" s="131"/>
      <c r="K159" s="132"/>
      <c r="L159" s="123">
        <f t="shared" si="9"/>
        <v>0</v>
      </c>
      <c r="M159" s="277"/>
      <c r="N159" s="200"/>
      <c r="O159" s="200"/>
    </row>
    <row r="160" spans="1:17" s="71" customFormat="1">
      <c r="A160" s="111"/>
      <c r="B160" s="171" t="s">
        <v>86</v>
      </c>
      <c r="C160" s="160" t="s">
        <v>58</v>
      </c>
      <c r="D160" s="611">
        <v>0.2</v>
      </c>
      <c r="E160" s="97">
        <f>D160*E154</f>
        <v>3.0720000000000001</v>
      </c>
      <c r="F160" s="121"/>
      <c r="G160" s="123">
        <f>F160*E160</f>
        <v>0</v>
      </c>
      <c r="H160" s="97"/>
      <c r="I160" s="132"/>
      <c r="J160" s="131"/>
      <c r="K160" s="132"/>
      <c r="L160" s="123">
        <f t="shared" si="9"/>
        <v>0</v>
      </c>
      <c r="M160" s="277"/>
      <c r="N160" s="200"/>
      <c r="O160" s="200"/>
    </row>
    <row r="161" spans="1:17" s="71" customFormat="1">
      <c r="A161" s="111"/>
      <c r="B161" s="117" t="s">
        <v>51</v>
      </c>
      <c r="C161" s="354" t="s">
        <v>67</v>
      </c>
      <c r="D161" s="611">
        <v>7.0000000000000001E-3</v>
      </c>
      <c r="E161" s="97">
        <f>D161*E154</f>
        <v>0.10752</v>
      </c>
      <c r="F161" s="97"/>
      <c r="G161" s="123">
        <f>F161*E161</f>
        <v>0</v>
      </c>
      <c r="H161" s="97"/>
      <c r="I161" s="132"/>
      <c r="J161" s="131"/>
      <c r="K161" s="132"/>
      <c r="L161" s="123">
        <f t="shared" si="9"/>
        <v>0</v>
      </c>
      <c r="M161" s="277"/>
      <c r="N161" s="200"/>
      <c r="O161" s="200"/>
    </row>
    <row r="162" spans="1:17" s="401" customFormat="1" ht="27" customHeight="1">
      <c r="A162" s="363">
        <v>36</v>
      </c>
      <c r="B162" s="363" t="s">
        <v>206</v>
      </c>
      <c r="C162" s="363" t="s">
        <v>151</v>
      </c>
      <c r="D162" s="363"/>
      <c r="E162" s="400">
        <v>2.1</v>
      </c>
      <c r="F162" s="373"/>
      <c r="G162" s="373"/>
      <c r="H162" s="373"/>
      <c r="I162" s="373"/>
      <c r="J162" s="373"/>
      <c r="K162" s="373"/>
      <c r="L162" s="373"/>
    </row>
    <row r="163" spans="1:17" s="402" customFormat="1" ht="17.399999999999999">
      <c r="A163" s="360"/>
      <c r="B163" s="383" t="s">
        <v>42</v>
      </c>
      <c r="C163" s="954" t="s">
        <v>142</v>
      </c>
      <c r="D163" s="384">
        <v>1</v>
      </c>
      <c r="E163" s="1119">
        <f>D163*E162</f>
        <v>2.1</v>
      </c>
      <c r="F163" s="361"/>
      <c r="G163" s="361"/>
      <c r="H163" s="361"/>
      <c r="I163" s="361">
        <f>H163*E163</f>
        <v>0</v>
      </c>
      <c r="J163" s="361"/>
      <c r="K163" s="361"/>
      <c r="L163" s="361">
        <f>K163+I163+G163</f>
        <v>0</v>
      </c>
    </row>
    <row r="164" spans="1:17" s="402" customFormat="1">
      <c r="A164" s="360"/>
      <c r="B164" s="383" t="s">
        <v>49</v>
      </c>
      <c r="C164" s="384" t="s">
        <v>2</v>
      </c>
      <c r="D164" s="391">
        <f>(0.95+4*0.23)/100</f>
        <v>1.8700000000000001E-2</v>
      </c>
      <c r="E164" s="388">
        <f>D164*E162</f>
        <v>3.9270000000000006E-2</v>
      </c>
      <c r="F164" s="361"/>
      <c r="G164" s="361"/>
      <c r="H164" s="361"/>
      <c r="I164" s="361"/>
      <c r="J164" s="361"/>
      <c r="K164" s="361">
        <f>E164*J164</f>
        <v>0</v>
      </c>
      <c r="L164" s="361">
        <f>K164+I164+G164</f>
        <v>0</v>
      </c>
    </row>
    <row r="165" spans="1:17" s="402" customFormat="1" ht="17.399999999999999">
      <c r="A165" s="360"/>
      <c r="B165" s="404" t="s">
        <v>88</v>
      </c>
      <c r="C165" s="384" t="s">
        <v>143</v>
      </c>
      <c r="D165" s="405">
        <f>(2.04+4*0.51)/100</f>
        <v>4.0800000000000003E-2</v>
      </c>
      <c r="E165" s="361">
        <f>D165*E162</f>
        <v>8.5680000000000006E-2</v>
      </c>
      <c r="F165" s="403"/>
      <c r="G165" s="361">
        <f>F165*E165</f>
        <v>0</v>
      </c>
      <c r="H165" s="361"/>
      <c r="I165" s="361"/>
      <c r="J165" s="361"/>
      <c r="K165" s="361"/>
      <c r="L165" s="361">
        <f>K165+I165+G165</f>
        <v>0</v>
      </c>
    </row>
    <row r="166" spans="1:17" s="402" customFormat="1" ht="15" customHeight="1">
      <c r="A166" s="360"/>
      <c r="B166" s="383" t="s">
        <v>51</v>
      </c>
      <c r="C166" s="384" t="s">
        <v>2</v>
      </c>
      <c r="D166" s="405">
        <v>6.3600000000000004E-2</v>
      </c>
      <c r="E166" s="361">
        <f>D166*E162</f>
        <v>0.13356000000000001</v>
      </c>
      <c r="F166" s="361"/>
      <c r="G166" s="361">
        <f>F166*E166</f>
        <v>0</v>
      </c>
      <c r="H166" s="361"/>
      <c r="I166" s="361"/>
      <c r="J166" s="361"/>
      <c r="K166" s="361"/>
      <c r="L166" s="361">
        <f>K166+I166+G166</f>
        <v>0</v>
      </c>
    </row>
    <row r="167" spans="1:17" s="9" customFormat="1" ht="30">
      <c r="A167" s="311">
        <v>37</v>
      </c>
      <c r="B167" s="302" t="s">
        <v>390</v>
      </c>
      <c r="C167" s="311" t="s">
        <v>151</v>
      </c>
      <c r="D167" s="301"/>
      <c r="E167" s="395">
        <v>2.1</v>
      </c>
      <c r="F167" s="317"/>
      <c r="G167" s="318"/>
      <c r="H167" s="317"/>
      <c r="I167" s="318"/>
      <c r="J167" s="317"/>
      <c r="K167" s="318"/>
      <c r="L167" s="318"/>
      <c r="M167" s="277"/>
      <c r="N167" s="215"/>
      <c r="O167" s="215"/>
    </row>
    <row r="168" spans="1:17" s="75" customFormat="1" ht="17.399999999999999">
      <c r="A168" s="354"/>
      <c r="B168" s="117" t="s">
        <v>42</v>
      </c>
      <c r="C168" s="954" t="s">
        <v>142</v>
      </c>
      <c r="D168" s="119">
        <v>1</v>
      </c>
      <c r="E168" s="120">
        <f>D168*E167</f>
        <v>2.1</v>
      </c>
      <c r="F168" s="121"/>
      <c r="G168" s="70"/>
      <c r="H168" s="275"/>
      <c r="I168" s="70">
        <f>H168*E168</f>
        <v>0</v>
      </c>
      <c r="J168" s="121"/>
      <c r="K168" s="70"/>
      <c r="L168" s="70">
        <f t="shared" ref="L168:L173" si="10">K168+I168+G168</f>
        <v>0</v>
      </c>
      <c r="M168" s="277"/>
      <c r="N168" s="287"/>
      <c r="O168" s="287"/>
    </row>
    <row r="169" spans="1:17" s="75" customFormat="1">
      <c r="A169" s="354"/>
      <c r="B169" s="117" t="s">
        <v>49</v>
      </c>
      <c r="C169" s="118" t="s">
        <v>2</v>
      </c>
      <c r="D169" s="130">
        <v>4.5199999999999997E-2</v>
      </c>
      <c r="E169" s="1117">
        <f>D169*E167</f>
        <v>9.4920000000000004E-2</v>
      </c>
      <c r="F169" s="121"/>
      <c r="G169" s="70"/>
      <c r="H169" s="121"/>
      <c r="I169" s="70"/>
      <c r="J169" s="121"/>
      <c r="K169" s="70">
        <f>E169*J169</f>
        <v>0</v>
      </c>
      <c r="L169" s="70">
        <f t="shared" si="10"/>
        <v>0</v>
      </c>
      <c r="M169" s="277"/>
      <c r="N169" s="287"/>
      <c r="O169" s="287"/>
    </row>
    <row r="170" spans="1:17" s="71" customFormat="1" ht="28.2">
      <c r="A170" s="733"/>
      <c r="B170" s="749" t="s">
        <v>436</v>
      </c>
      <c r="C170" s="725" t="s">
        <v>155</v>
      </c>
      <c r="D170" s="774">
        <v>1.02</v>
      </c>
      <c r="E170" s="755">
        <f>D170*E167</f>
        <v>2.1420000000000003</v>
      </c>
      <c r="F170" s="755"/>
      <c r="G170" s="739">
        <f>F170*E170</f>
        <v>0</v>
      </c>
      <c r="H170" s="755"/>
      <c r="I170" s="737"/>
      <c r="J170" s="738"/>
      <c r="K170" s="737"/>
      <c r="L170" s="739">
        <f t="shared" si="10"/>
        <v>0</v>
      </c>
      <c r="M170" s="200"/>
      <c r="N170" s="284"/>
      <c r="O170" s="277"/>
      <c r="P170" s="200"/>
      <c r="Q170" s="200"/>
    </row>
    <row r="171" spans="1:17" s="20" customFormat="1">
      <c r="A171" s="358"/>
      <c r="B171" s="172" t="s">
        <v>85</v>
      </c>
      <c r="C171" s="160" t="s">
        <v>58</v>
      </c>
      <c r="D171" s="611">
        <v>6.25</v>
      </c>
      <c r="E171" s="97">
        <f>D171*E167</f>
        <v>13.125</v>
      </c>
      <c r="F171" s="121"/>
      <c r="G171" s="70">
        <f t="shared" ref="G171:G173" si="11">F171*E171</f>
        <v>0</v>
      </c>
      <c r="H171" s="121"/>
      <c r="I171" s="70"/>
      <c r="J171" s="121"/>
      <c r="K171" s="70"/>
      <c r="L171" s="70">
        <f t="shared" si="10"/>
        <v>0</v>
      </c>
      <c r="M171" s="277"/>
      <c r="N171" s="43"/>
      <c r="O171" s="43"/>
    </row>
    <row r="172" spans="1:17" s="20" customFormat="1">
      <c r="A172" s="358"/>
      <c r="B172" s="171" t="s">
        <v>90</v>
      </c>
      <c r="C172" s="160" t="s">
        <v>58</v>
      </c>
      <c r="D172" s="611">
        <v>0.2</v>
      </c>
      <c r="E172" s="97">
        <f>D172*E167</f>
        <v>0.42000000000000004</v>
      </c>
      <c r="F172" s="121"/>
      <c r="G172" s="70">
        <f t="shared" si="11"/>
        <v>0</v>
      </c>
      <c r="H172" s="121"/>
      <c r="I172" s="70"/>
      <c r="J172" s="121"/>
      <c r="K172" s="70"/>
      <c r="L172" s="70">
        <f t="shared" si="10"/>
        <v>0</v>
      </c>
      <c r="M172" s="277"/>
      <c r="N172" s="43"/>
      <c r="O172" s="43"/>
    </row>
    <row r="173" spans="1:17" s="72" customFormat="1">
      <c r="A173" s="154"/>
      <c r="B173" s="117" t="s">
        <v>51</v>
      </c>
      <c r="C173" s="118" t="s">
        <v>2</v>
      </c>
      <c r="D173" s="158">
        <v>4.6600000000000003E-2</v>
      </c>
      <c r="E173" s="159">
        <f>D173*E167</f>
        <v>9.7860000000000003E-2</v>
      </c>
      <c r="F173" s="155"/>
      <c r="G173" s="123">
        <f t="shared" si="11"/>
        <v>0</v>
      </c>
      <c r="H173" s="159"/>
      <c r="I173" s="156"/>
      <c r="J173" s="157"/>
      <c r="K173" s="156"/>
      <c r="L173" s="123">
        <f t="shared" si="10"/>
        <v>0</v>
      </c>
      <c r="M173" s="277"/>
      <c r="N173" s="284"/>
      <c r="O173" s="284"/>
    </row>
    <row r="174" spans="1:17" s="73" customFormat="1" ht="45">
      <c r="A174" s="311">
        <v>38</v>
      </c>
      <c r="B174" s="314" t="s">
        <v>379</v>
      </c>
      <c r="C174" s="311" t="s">
        <v>151</v>
      </c>
      <c r="D174" s="315"/>
      <c r="E174" s="316">
        <v>2.1</v>
      </c>
      <c r="F174" s="317"/>
      <c r="G174" s="318"/>
      <c r="H174" s="317"/>
      <c r="I174" s="318"/>
      <c r="J174" s="317"/>
      <c r="K174" s="318"/>
      <c r="L174" s="318"/>
      <c r="M174" s="277"/>
      <c r="N174" s="285"/>
      <c r="O174" s="285"/>
    </row>
    <row r="175" spans="1:17" s="71" customFormat="1">
      <c r="A175" s="1015"/>
      <c r="B175" s="117" t="s">
        <v>42</v>
      </c>
      <c r="C175" s="1015" t="s">
        <v>43</v>
      </c>
      <c r="D175" s="119">
        <v>3.14</v>
      </c>
      <c r="E175" s="120">
        <f>D175*E174</f>
        <v>6.5940000000000003</v>
      </c>
      <c r="F175" s="121"/>
      <c r="G175" s="70"/>
      <c r="H175" s="121"/>
      <c r="I175" s="70">
        <f>H175*E175</f>
        <v>0</v>
      </c>
      <c r="J175" s="121"/>
      <c r="K175" s="70"/>
      <c r="L175" s="70">
        <f t="shared" ref="L175:L186" si="12">K175+I175+G175</f>
        <v>0</v>
      </c>
      <c r="M175" s="277"/>
      <c r="N175" s="200"/>
      <c r="O175" s="200"/>
    </row>
    <row r="176" spans="1:17" s="71" customFormat="1">
      <c r="A176" s="168"/>
      <c r="B176" s="52" t="s">
        <v>49</v>
      </c>
      <c r="C176" s="146" t="s">
        <v>2</v>
      </c>
      <c r="D176" s="119">
        <v>0.106</v>
      </c>
      <c r="E176" s="169">
        <f>D176*E174</f>
        <v>0.22259999999999999</v>
      </c>
      <c r="F176" s="169"/>
      <c r="G176" s="170"/>
      <c r="H176" s="169"/>
      <c r="I176" s="170"/>
      <c r="J176" s="169"/>
      <c r="K176" s="170">
        <f>J176*E176</f>
        <v>0</v>
      </c>
      <c r="L176" s="170">
        <f t="shared" si="12"/>
        <v>0</v>
      </c>
      <c r="M176" s="277"/>
      <c r="N176" s="200"/>
      <c r="O176" s="200"/>
    </row>
    <row r="177" spans="1:15" s="71" customFormat="1" ht="27.6">
      <c r="A177" s="1015"/>
      <c r="B177" s="171" t="s">
        <v>154</v>
      </c>
      <c r="C177" s="118" t="s">
        <v>66</v>
      </c>
      <c r="D177" s="130">
        <v>2.9</v>
      </c>
      <c r="E177" s="1117">
        <f>D177*E174</f>
        <v>6.09</v>
      </c>
      <c r="F177" s="121"/>
      <c r="G177" s="70">
        <f t="shared" ref="G177:G182" si="13">F177*E177</f>
        <v>0</v>
      </c>
      <c r="H177" s="121"/>
      <c r="I177" s="70"/>
      <c r="J177" s="121"/>
      <c r="K177" s="70"/>
      <c r="L177" s="70">
        <f t="shared" si="12"/>
        <v>0</v>
      </c>
      <c r="M177" s="277"/>
      <c r="N177" s="200"/>
      <c r="O177" s="200"/>
    </row>
    <row r="178" spans="1:15" s="71" customFormat="1" ht="41.4">
      <c r="A178" s="168"/>
      <c r="B178" s="171" t="s">
        <v>75</v>
      </c>
      <c r="C178" s="166" t="s">
        <v>66</v>
      </c>
      <c r="D178" s="261"/>
      <c r="E178" s="96">
        <v>5.6</v>
      </c>
      <c r="F178" s="96"/>
      <c r="G178" s="136">
        <f t="shared" si="13"/>
        <v>0</v>
      </c>
      <c r="H178" s="95"/>
      <c r="I178" s="167"/>
      <c r="J178" s="95"/>
      <c r="K178" s="167"/>
      <c r="L178" s="167">
        <f t="shared" si="12"/>
        <v>0</v>
      </c>
      <c r="M178" s="277"/>
      <c r="N178" s="200"/>
      <c r="O178" s="200"/>
    </row>
    <row r="179" spans="1:15" s="71" customFormat="1">
      <c r="A179" s="1015"/>
      <c r="B179" s="117" t="s">
        <v>76</v>
      </c>
      <c r="C179" s="1015" t="s">
        <v>62</v>
      </c>
      <c r="D179" s="130">
        <v>0.7</v>
      </c>
      <c r="E179" s="1117">
        <f>D179*E174</f>
        <v>1.47</v>
      </c>
      <c r="F179" s="121"/>
      <c r="G179" s="70">
        <f t="shared" si="13"/>
        <v>0</v>
      </c>
      <c r="H179" s="121"/>
      <c r="I179" s="70"/>
      <c r="J179" s="121"/>
      <c r="K179" s="70"/>
      <c r="L179" s="70">
        <f t="shared" si="12"/>
        <v>0</v>
      </c>
      <c r="M179" s="277"/>
      <c r="N179" s="200"/>
      <c r="O179" s="200"/>
    </row>
    <row r="180" spans="1:15" s="71" customFormat="1">
      <c r="A180" s="162"/>
      <c r="B180" s="135" t="s">
        <v>77</v>
      </c>
      <c r="C180" s="166" t="s">
        <v>62</v>
      </c>
      <c r="D180" s="261">
        <v>0.7</v>
      </c>
      <c r="E180" s="96">
        <f>D180*E174</f>
        <v>1.47</v>
      </c>
      <c r="F180" s="96"/>
      <c r="G180" s="136">
        <f t="shared" si="13"/>
        <v>0</v>
      </c>
      <c r="H180" s="95"/>
      <c r="I180" s="167"/>
      <c r="J180" s="95"/>
      <c r="K180" s="167"/>
      <c r="L180" s="167">
        <f t="shared" si="12"/>
        <v>0</v>
      </c>
      <c r="M180" s="277"/>
      <c r="N180" s="200"/>
      <c r="O180" s="200"/>
    </row>
    <row r="181" spans="1:15" s="71" customFormat="1">
      <c r="A181" s="1015"/>
      <c r="B181" s="117" t="s">
        <v>78</v>
      </c>
      <c r="C181" s="1015" t="s">
        <v>62</v>
      </c>
      <c r="D181" s="119">
        <v>0.7</v>
      </c>
      <c r="E181" s="120">
        <f>D181*E174</f>
        <v>1.47</v>
      </c>
      <c r="F181" s="96"/>
      <c r="G181" s="70">
        <f t="shared" si="13"/>
        <v>0</v>
      </c>
      <c r="H181" s="121"/>
      <c r="I181" s="70"/>
      <c r="J181" s="121"/>
      <c r="K181" s="70"/>
      <c r="L181" s="70">
        <f t="shared" si="12"/>
        <v>0</v>
      </c>
      <c r="M181" s="277"/>
      <c r="N181" s="200"/>
      <c r="O181" s="200"/>
    </row>
    <row r="182" spans="1:15" s="71" customFormat="1" ht="27.6">
      <c r="A182" s="1015"/>
      <c r="B182" s="135" t="s">
        <v>74</v>
      </c>
      <c r="C182" s="118" t="s">
        <v>66</v>
      </c>
      <c r="D182" s="119">
        <v>1.2</v>
      </c>
      <c r="E182" s="1117">
        <f>D182*E174</f>
        <v>2.52</v>
      </c>
      <c r="F182" s="96"/>
      <c r="G182" s="70">
        <f t="shared" si="13"/>
        <v>0</v>
      </c>
      <c r="H182" s="121"/>
      <c r="I182" s="70"/>
      <c r="J182" s="121"/>
      <c r="K182" s="70"/>
      <c r="L182" s="70">
        <f t="shared" si="12"/>
        <v>0</v>
      </c>
      <c r="M182" s="277"/>
      <c r="N182" s="200"/>
      <c r="O182" s="200"/>
    </row>
    <row r="183" spans="1:15" s="71" customFormat="1" ht="41.4">
      <c r="A183" s="1015"/>
      <c r="B183" s="135" t="s">
        <v>79</v>
      </c>
      <c r="C183" s="1015" t="s">
        <v>142</v>
      </c>
      <c r="D183" s="130">
        <v>1.05</v>
      </c>
      <c r="E183" s="1117">
        <f>D183*E174</f>
        <v>2.2050000000000001</v>
      </c>
      <c r="F183" s="96"/>
      <c r="G183" s="70">
        <f>F183*E183</f>
        <v>0</v>
      </c>
      <c r="H183" s="121"/>
      <c r="I183" s="70"/>
      <c r="J183" s="121"/>
      <c r="K183" s="70"/>
      <c r="L183" s="70">
        <f>K183+I183+G183</f>
        <v>0</v>
      </c>
      <c r="M183" s="277"/>
      <c r="N183" s="200"/>
      <c r="O183" s="200"/>
    </row>
    <row r="184" spans="1:15" s="71" customFormat="1" ht="27" customHeight="1">
      <c r="A184" s="1015"/>
      <c r="B184" s="135" t="s">
        <v>73</v>
      </c>
      <c r="C184" s="1015" t="s">
        <v>62</v>
      </c>
      <c r="D184" s="119">
        <v>23</v>
      </c>
      <c r="E184" s="120">
        <f>D184*E174</f>
        <v>48.300000000000004</v>
      </c>
      <c r="F184" s="121"/>
      <c r="G184" s="70">
        <f>F184*E184</f>
        <v>0</v>
      </c>
      <c r="H184" s="121"/>
      <c r="I184" s="70"/>
      <c r="J184" s="121"/>
      <c r="K184" s="70"/>
      <c r="L184" s="70">
        <f>K184+I184+G184</f>
        <v>0</v>
      </c>
      <c r="M184" s="277"/>
      <c r="N184" s="200"/>
      <c r="O184" s="200"/>
    </row>
    <row r="185" spans="1:15" s="71" customFormat="1" ht="27.6">
      <c r="A185" s="168"/>
      <c r="B185" s="135" t="s">
        <v>149</v>
      </c>
      <c r="C185" s="166" t="s">
        <v>58</v>
      </c>
      <c r="D185" s="261">
        <v>0.35</v>
      </c>
      <c r="E185" s="95">
        <f>D185*E174</f>
        <v>0.73499999999999999</v>
      </c>
      <c r="F185" s="96"/>
      <c r="G185" s="167">
        <f>F185*E185</f>
        <v>0</v>
      </c>
      <c r="H185" s="163"/>
      <c r="I185" s="164"/>
      <c r="J185" s="163"/>
      <c r="K185" s="164"/>
      <c r="L185" s="167">
        <f>K185+I185+G185</f>
        <v>0</v>
      </c>
      <c r="M185" s="277"/>
      <c r="N185" s="200"/>
      <c r="O185" s="200"/>
    </row>
    <row r="186" spans="1:15" s="71" customFormat="1">
      <c r="A186" s="111"/>
      <c r="B186" s="117" t="s">
        <v>51</v>
      </c>
      <c r="C186" s="118" t="s">
        <v>2</v>
      </c>
      <c r="D186" s="611">
        <v>6.6500000000000004E-2</v>
      </c>
      <c r="E186" s="97">
        <f>D186*E174</f>
        <v>0.13965000000000002</v>
      </c>
      <c r="F186" s="97"/>
      <c r="G186" s="123">
        <f>E186*F186</f>
        <v>0</v>
      </c>
      <c r="H186" s="131"/>
      <c r="I186" s="132"/>
      <c r="J186" s="131"/>
      <c r="K186" s="132"/>
      <c r="L186" s="70">
        <f t="shared" si="12"/>
        <v>0</v>
      </c>
      <c r="M186" s="277"/>
      <c r="N186" s="200"/>
      <c r="O186" s="200"/>
    </row>
    <row r="187" spans="1:15" s="756" customFormat="1" ht="30">
      <c r="A187" s="740">
        <v>39</v>
      </c>
      <c r="B187" s="741" t="s">
        <v>383</v>
      </c>
      <c r="C187" s="721" t="s">
        <v>151</v>
      </c>
      <c r="D187" s="742"/>
      <c r="E187" s="957">
        <v>2.1</v>
      </c>
      <c r="F187" s="742"/>
      <c r="G187" s="741"/>
      <c r="H187" s="743"/>
      <c r="I187" s="742"/>
      <c r="J187" s="743"/>
      <c r="K187" s="742"/>
      <c r="L187" s="740"/>
    </row>
    <row r="188" spans="1:15" s="372" customFormat="1" ht="22.05" customHeight="1">
      <c r="A188" s="725"/>
      <c r="B188" s="726" t="s">
        <v>72</v>
      </c>
      <c r="C188" s="1015" t="s">
        <v>155</v>
      </c>
      <c r="D188" s="729">
        <v>1</v>
      </c>
      <c r="E188" s="729">
        <f>E187*D188</f>
        <v>2.1</v>
      </c>
      <c r="F188" s="725"/>
      <c r="G188" s="725"/>
      <c r="H188" s="121"/>
      <c r="I188" s="732">
        <f>H188*E188</f>
        <v>0</v>
      </c>
      <c r="J188" s="725"/>
      <c r="K188" s="725"/>
      <c r="L188" s="732">
        <f t="shared" ref="L188:L191" si="14">K188+I188+G188</f>
        <v>0</v>
      </c>
    </row>
    <row r="189" spans="1:15" s="372" customFormat="1" ht="13.5" customHeight="1">
      <c r="A189" s="758"/>
      <c r="B189" s="745" t="s">
        <v>262</v>
      </c>
      <c r="C189" s="757" t="s">
        <v>58</v>
      </c>
      <c r="D189" s="725">
        <v>0.63</v>
      </c>
      <c r="E189" s="769">
        <f>D189*E187</f>
        <v>1.3230000000000002</v>
      </c>
      <c r="F189" s="759"/>
      <c r="G189" s="746">
        <f>F189*E189</f>
        <v>0</v>
      </c>
      <c r="H189" s="746"/>
      <c r="I189" s="745"/>
      <c r="J189" s="746"/>
      <c r="K189" s="745"/>
      <c r="L189" s="729">
        <f t="shared" si="14"/>
        <v>0</v>
      </c>
    </row>
    <row r="190" spans="1:15" s="71" customFormat="1">
      <c r="A190" s="758"/>
      <c r="B190" s="745" t="s">
        <v>91</v>
      </c>
      <c r="C190" s="814" t="s">
        <v>58</v>
      </c>
      <c r="D190" s="815">
        <v>0.92</v>
      </c>
      <c r="E190" s="755">
        <f>D190*E187</f>
        <v>1.9320000000000002</v>
      </c>
      <c r="F190" s="736"/>
      <c r="G190" s="739">
        <f>E190*F190</f>
        <v>0</v>
      </c>
      <c r="H190" s="131"/>
      <c r="I190" s="132"/>
      <c r="J190" s="131"/>
      <c r="K190" s="132"/>
      <c r="L190" s="70">
        <f t="shared" si="14"/>
        <v>0</v>
      </c>
      <c r="M190" s="277"/>
      <c r="N190" s="200"/>
      <c r="O190" s="200"/>
    </row>
    <row r="191" spans="1:15" s="71" customFormat="1">
      <c r="A191" s="111"/>
      <c r="B191" s="117" t="s">
        <v>51</v>
      </c>
      <c r="C191" s="118" t="s">
        <v>2</v>
      </c>
      <c r="D191" s="611">
        <v>1.7999999999999999E-2</v>
      </c>
      <c r="E191" s="97">
        <f>D191*E179</f>
        <v>2.6459999999999997E-2</v>
      </c>
      <c r="F191" s="97"/>
      <c r="G191" s="123">
        <f>E191*F191</f>
        <v>0</v>
      </c>
      <c r="H191" s="131"/>
      <c r="I191" s="132"/>
      <c r="J191" s="131"/>
      <c r="K191" s="132"/>
      <c r="L191" s="70">
        <f t="shared" si="14"/>
        <v>0</v>
      </c>
      <c r="M191" s="277"/>
      <c r="N191" s="200"/>
      <c r="O191" s="200"/>
    </row>
    <row r="192" spans="1:15" s="200" customFormat="1" ht="30.75" customHeight="1">
      <c r="A192" s="416">
        <v>40</v>
      </c>
      <c r="B192" s="439" t="s">
        <v>321</v>
      </c>
      <c r="C192" s="363" t="s">
        <v>151</v>
      </c>
      <c r="D192" s="440"/>
      <c r="E192" s="418">
        <v>26.5</v>
      </c>
      <c r="F192" s="441"/>
      <c r="G192" s="442"/>
      <c r="H192" s="441"/>
      <c r="I192" s="442"/>
      <c r="J192" s="441"/>
      <c r="K192" s="442"/>
      <c r="L192" s="442"/>
      <c r="M192" s="277"/>
    </row>
    <row r="193" spans="1:15" s="438" customFormat="1" ht="17.399999999999999">
      <c r="A193" s="443"/>
      <c r="B193" s="444" t="s">
        <v>187</v>
      </c>
      <c r="C193" s="954" t="s">
        <v>142</v>
      </c>
      <c r="D193" s="490">
        <v>1</v>
      </c>
      <c r="E193" s="490">
        <f>E192*D193</f>
        <v>26.5</v>
      </c>
      <c r="F193" s="371"/>
      <c r="H193" s="446"/>
      <c r="I193" s="443">
        <f>E193*H193</f>
        <v>0</v>
      </c>
      <c r="J193" s="447"/>
      <c r="K193" s="447"/>
      <c r="L193" s="446">
        <f>I193</f>
        <v>0</v>
      </c>
    </row>
    <row r="194" spans="1:15" s="438" customFormat="1" ht="16.2">
      <c r="A194" s="443"/>
      <c r="B194" s="444" t="s">
        <v>188</v>
      </c>
      <c r="C194" s="443" t="s">
        <v>64</v>
      </c>
      <c r="D194" s="490">
        <v>1.52E-2</v>
      </c>
      <c r="E194" s="490">
        <f>D194*E192</f>
        <v>0.40279999999999999</v>
      </c>
      <c r="F194" s="1018"/>
      <c r="G194" s="443"/>
      <c r="H194" s="447"/>
      <c r="I194" s="447"/>
      <c r="J194" s="447"/>
      <c r="K194" s="446">
        <f>E194*J194</f>
        <v>0</v>
      </c>
      <c r="L194" s="446">
        <f>K194</f>
        <v>0</v>
      </c>
    </row>
    <row r="195" spans="1:15" s="438" customFormat="1" ht="16.2">
      <c r="A195" s="443"/>
      <c r="B195" s="444" t="s">
        <v>189</v>
      </c>
      <c r="C195" s="443" t="s">
        <v>67</v>
      </c>
      <c r="D195" s="490">
        <v>3.3999999999999998E-3</v>
      </c>
      <c r="E195" s="490">
        <f>E192*D195</f>
        <v>9.01E-2</v>
      </c>
      <c r="F195" s="1019"/>
      <c r="G195" s="1050"/>
      <c r="H195" s="1050"/>
      <c r="I195" s="1050"/>
      <c r="J195" s="1051"/>
      <c r="K195" s="446">
        <f>E195*J195</f>
        <v>0</v>
      </c>
      <c r="L195" s="446">
        <f>K195</f>
        <v>0</v>
      </c>
    </row>
    <row r="196" spans="1:15" s="71" customFormat="1" ht="30">
      <c r="A196" s="954"/>
      <c r="B196" s="117" t="s">
        <v>335</v>
      </c>
      <c r="C196" s="954" t="s">
        <v>142</v>
      </c>
      <c r="D196" s="119">
        <v>1.1000000000000001</v>
      </c>
      <c r="E196" s="120">
        <f>D196*E193</f>
        <v>29.150000000000002</v>
      </c>
      <c r="F196" s="96"/>
      <c r="G196" s="739">
        <f>E196*F196</f>
        <v>0</v>
      </c>
      <c r="H196" s="738"/>
      <c r="I196" s="737"/>
      <c r="J196" s="738"/>
      <c r="K196" s="132"/>
      <c r="L196" s="70">
        <f>K196+I196+G196</f>
        <v>0</v>
      </c>
      <c r="M196" s="277"/>
      <c r="N196" s="200"/>
      <c r="O196" s="200"/>
    </row>
    <row r="197" spans="1:15" s="437" customFormat="1" ht="16.2">
      <c r="A197" s="443"/>
      <c r="B197" s="444" t="s">
        <v>191</v>
      </c>
      <c r="C197" s="443" t="s">
        <v>192</v>
      </c>
      <c r="D197" s="1020">
        <v>0.05</v>
      </c>
      <c r="E197" s="490">
        <f>E192*D197</f>
        <v>1.3250000000000002</v>
      </c>
      <c r="F197" s="1018"/>
      <c r="G197" s="1052">
        <f>E197*F197</f>
        <v>0</v>
      </c>
      <c r="H197" s="1053"/>
      <c r="I197" s="1053"/>
      <c r="J197" s="1054"/>
      <c r="K197" s="449"/>
      <c r="L197" s="446">
        <f>G197</f>
        <v>0</v>
      </c>
    </row>
    <row r="198" spans="1:15" s="437" customFormat="1" ht="16.2">
      <c r="A198" s="443"/>
      <c r="B198" s="444" t="s">
        <v>193</v>
      </c>
      <c r="C198" s="443" t="s">
        <v>192</v>
      </c>
      <c r="D198" s="1020">
        <v>0.02</v>
      </c>
      <c r="E198" s="490">
        <f>D198*E192</f>
        <v>0.53</v>
      </c>
      <c r="F198" s="1018"/>
      <c r="G198" s="1052">
        <f>E198*F198</f>
        <v>0</v>
      </c>
      <c r="H198" s="1053"/>
      <c r="I198" s="1053"/>
      <c r="J198" s="1054"/>
      <c r="K198" s="449"/>
      <c r="L198" s="446">
        <f>G198</f>
        <v>0</v>
      </c>
    </row>
    <row r="199" spans="1:15" s="438" customFormat="1" ht="16.2">
      <c r="A199" s="443"/>
      <c r="B199" s="444" t="s">
        <v>194</v>
      </c>
      <c r="C199" s="443" t="s">
        <v>67</v>
      </c>
      <c r="D199" s="1020">
        <v>3.8600000000000002E-2</v>
      </c>
      <c r="E199" s="490">
        <f>E192*D199</f>
        <v>1.0229000000000001</v>
      </c>
      <c r="F199" s="1018"/>
      <c r="G199" s="1055">
        <f>E199*F199</f>
        <v>0</v>
      </c>
      <c r="H199" s="1056"/>
      <c r="I199" s="1056"/>
      <c r="J199" s="1050"/>
      <c r="K199" s="447"/>
      <c r="L199" s="446">
        <f>G199</f>
        <v>0</v>
      </c>
    </row>
    <row r="200" spans="1:15" s="370" customFormat="1" ht="30">
      <c r="A200" s="635">
        <v>41</v>
      </c>
      <c r="B200" s="712" t="s">
        <v>134</v>
      </c>
      <c r="C200" s="713" t="s">
        <v>153</v>
      </c>
      <c r="D200" s="713"/>
      <c r="E200" s="714">
        <v>45.2</v>
      </c>
      <c r="F200" s="635"/>
      <c r="G200" s="715"/>
      <c r="H200" s="635"/>
      <c r="I200" s="715"/>
      <c r="J200" s="635"/>
      <c r="K200" s="715"/>
      <c r="L200" s="715"/>
    </row>
    <row r="201" spans="1:15" s="377" customFormat="1" ht="17.399999999999999">
      <c r="A201" s="637"/>
      <c r="B201" s="716" t="s">
        <v>42</v>
      </c>
      <c r="C201" s="720" t="s">
        <v>142</v>
      </c>
      <c r="D201" s="717">
        <v>1</v>
      </c>
      <c r="E201" s="718">
        <f>D201*E200</f>
        <v>45.2</v>
      </c>
      <c r="F201" s="637"/>
      <c r="G201" s="615"/>
      <c r="H201" s="121"/>
      <c r="I201" s="615">
        <f>H201*E201</f>
        <v>0</v>
      </c>
      <c r="J201" s="637"/>
      <c r="K201" s="615"/>
      <c r="L201" s="615">
        <f>K201+I201+G201</f>
        <v>0</v>
      </c>
    </row>
    <row r="202" spans="1:15" s="377" customFormat="1">
      <c r="A202" s="637"/>
      <c r="B202" s="716" t="s">
        <v>45</v>
      </c>
      <c r="C202" s="717" t="s">
        <v>2</v>
      </c>
      <c r="D202" s="719">
        <v>2.1000000000000001E-2</v>
      </c>
      <c r="E202" s="1120">
        <f>D202*E200</f>
        <v>0.94920000000000015</v>
      </c>
      <c r="F202" s="637"/>
      <c r="G202" s="615"/>
      <c r="H202" s="637"/>
      <c r="I202" s="615"/>
      <c r="J202" s="637"/>
      <c r="K202" s="615">
        <f>E202*J202</f>
        <v>0</v>
      </c>
      <c r="L202" s="615">
        <f>K202+I202+G202</f>
        <v>0</v>
      </c>
    </row>
    <row r="203" spans="1:15" s="377" customFormat="1" ht="17.399999999999999">
      <c r="A203" s="360"/>
      <c r="B203" s="404" t="s">
        <v>332</v>
      </c>
      <c r="C203" s="360" t="s">
        <v>156</v>
      </c>
      <c r="D203" s="405">
        <f>0.0189*1.05</f>
        <v>1.9845000000000002E-2</v>
      </c>
      <c r="E203" s="361">
        <f>D203*E200</f>
        <v>0.89699400000000018</v>
      </c>
      <c r="F203" s="473"/>
      <c r="G203" s="361">
        <f>F203*E203</f>
        <v>0</v>
      </c>
      <c r="H203" s="361"/>
      <c r="I203" s="361"/>
      <c r="J203" s="361"/>
      <c r="K203" s="361"/>
      <c r="L203" s="361">
        <f>K203+I203+G203</f>
        <v>0</v>
      </c>
    </row>
    <row r="204" spans="1:15" s="1100" customFormat="1" ht="30">
      <c r="A204" s="1095">
        <v>42</v>
      </c>
      <c r="B204" s="1110" t="s">
        <v>425</v>
      </c>
      <c r="C204" s="1096" t="s">
        <v>426</v>
      </c>
      <c r="D204" s="1097"/>
      <c r="E204" s="1098">
        <v>45.2</v>
      </c>
      <c r="F204" s="1095"/>
      <c r="G204" s="1099"/>
      <c r="H204" s="1095"/>
      <c r="I204" s="1099"/>
      <c r="J204" s="1095"/>
      <c r="K204" s="1095"/>
      <c r="L204" s="1099"/>
    </row>
    <row r="205" spans="1:15" s="1104" customFormat="1" ht="17.399999999999999">
      <c r="A205" s="1101"/>
      <c r="B205" s="726" t="s">
        <v>42</v>
      </c>
      <c r="C205" s="725" t="s">
        <v>142</v>
      </c>
      <c r="D205" s="1102">
        <v>1</v>
      </c>
      <c r="E205" s="1121">
        <f>D205*E204</f>
        <v>45.2</v>
      </c>
      <c r="F205" s="1101"/>
      <c r="G205" s="1103"/>
      <c r="H205" s="1101"/>
      <c r="I205" s="1103">
        <f>H205*E205</f>
        <v>0</v>
      </c>
      <c r="J205" s="1101"/>
      <c r="K205" s="1103"/>
      <c r="L205" s="1103">
        <f t="shared" ref="L205:L210" si="15">K205+I205+G205</f>
        <v>0</v>
      </c>
      <c r="O205" s="1104">
        <v>342.5</v>
      </c>
    </row>
    <row r="206" spans="1:15" s="372" customFormat="1">
      <c r="A206" s="758"/>
      <c r="B206" s="726" t="s">
        <v>49</v>
      </c>
      <c r="C206" s="727" t="s">
        <v>2</v>
      </c>
      <c r="D206" s="762">
        <v>0.08</v>
      </c>
      <c r="E206" s="748">
        <f>D206*E204</f>
        <v>3.6160000000000001</v>
      </c>
      <c r="F206" s="729"/>
      <c r="G206" s="729"/>
      <c r="H206" s="729"/>
      <c r="I206" s="729"/>
      <c r="J206" s="729"/>
      <c r="K206" s="729">
        <f>E206*J206</f>
        <v>0</v>
      </c>
      <c r="L206" s="729">
        <f t="shared" si="15"/>
        <v>0</v>
      </c>
    </row>
    <row r="207" spans="1:15" s="1104" customFormat="1" ht="12.6">
      <c r="A207" s="1101"/>
      <c r="B207" s="1105" t="s">
        <v>427</v>
      </c>
      <c r="C207" s="1101" t="s">
        <v>287</v>
      </c>
      <c r="D207" s="1106">
        <v>1.5E-3</v>
      </c>
      <c r="E207" s="1122">
        <f>D207*E204</f>
        <v>6.7799999999999999E-2</v>
      </c>
      <c r="F207" s="1103"/>
      <c r="G207" s="1103">
        <f>F207*E207</f>
        <v>0</v>
      </c>
      <c r="H207" s="1103"/>
      <c r="I207" s="1103"/>
      <c r="J207" s="1103"/>
      <c r="K207" s="1103"/>
      <c r="L207" s="1103">
        <f t="shared" si="15"/>
        <v>0</v>
      </c>
      <c r="O207" s="1104">
        <v>38.313559322033903</v>
      </c>
    </row>
    <row r="208" spans="1:15" s="1104" customFormat="1" ht="14.4">
      <c r="A208" s="1101"/>
      <c r="B208" s="1105" t="s">
        <v>135</v>
      </c>
      <c r="C208" s="1101" t="s">
        <v>428</v>
      </c>
      <c r="D208" s="1106">
        <v>1.5E-3</v>
      </c>
      <c r="E208" s="1123">
        <f>D208*E204</f>
        <v>6.7799999999999999E-2</v>
      </c>
      <c r="F208" s="1103"/>
      <c r="G208" s="1103">
        <f>F208*E208</f>
        <v>0</v>
      </c>
      <c r="H208" s="1103"/>
      <c r="I208" s="1103"/>
      <c r="J208" s="1103"/>
      <c r="K208" s="1103"/>
      <c r="L208" s="1103">
        <f t="shared" si="15"/>
        <v>0</v>
      </c>
      <c r="O208" s="1104">
        <v>7.8090000000000011</v>
      </c>
    </row>
    <row r="209" spans="1:15" s="1104" customFormat="1" ht="12.6">
      <c r="A209" s="1101"/>
      <c r="B209" s="1105" t="s">
        <v>429</v>
      </c>
      <c r="C209" s="1107" t="s">
        <v>58</v>
      </c>
      <c r="D209" s="1106">
        <v>0.106</v>
      </c>
      <c r="E209" s="1123">
        <f>D209*E204</f>
        <v>4.7911999999999999</v>
      </c>
      <c r="F209" s="1103"/>
      <c r="G209" s="1103">
        <f>F209*E209</f>
        <v>0</v>
      </c>
      <c r="H209" s="1103"/>
      <c r="I209" s="1103"/>
      <c r="J209" s="1103"/>
      <c r="K209" s="1103"/>
      <c r="L209" s="1103">
        <f t="shared" si="15"/>
        <v>0</v>
      </c>
      <c r="O209" s="1104">
        <v>60.992400000000004</v>
      </c>
    </row>
    <row r="210" spans="1:15" s="370" customFormat="1">
      <c r="A210" s="725"/>
      <c r="B210" s="730" t="s">
        <v>51</v>
      </c>
      <c r="C210" s="727" t="s">
        <v>2</v>
      </c>
      <c r="D210" s="960">
        <v>4.1999999999999997E-3</v>
      </c>
      <c r="E210" s="1124">
        <f>D210*E204</f>
        <v>0.18984000000000001</v>
      </c>
      <c r="F210" s="729"/>
      <c r="G210" s="729">
        <f>F210*E210</f>
        <v>0</v>
      </c>
      <c r="H210" s="729"/>
      <c r="I210" s="729"/>
      <c r="J210" s="729"/>
      <c r="K210" s="729"/>
      <c r="L210" s="729">
        <f t="shared" si="15"/>
        <v>0</v>
      </c>
      <c r="N210" s="1108"/>
    </row>
    <row r="211" spans="1:15" s="71" customFormat="1" ht="17.399999999999999">
      <c r="A211" s="740">
        <v>43</v>
      </c>
      <c r="B211" s="741" t="s">
        <v>434</v>
      </c>
      <c r="C211" s="721" t="s">
        <v>151</v>
      </c>
      <c r="D211" s="816"/>
      <c r="E211" s="714">
        <v>45.2</v>
      </c>
      <c r="F211" s="817"/>
      <c r="G211" s="818"/>
      <c r="H211" s="396"/>
      <c r="I211" s="397"/>
      <c r="J211" s="396"/>
      <c r="K211" s="397"/>
      <c r="L211" s="432"/>
      <c r="M211" s="277"/>
      <c r="N211" s="200"/>
      <c r="O211" s="200"/>
    </row>
    <row r="212" spans="1:15" s="75" customFormat="1" ht="17.399999999999999">
      <c r="A212" s="1015"/>
      <c r="B212" s="117" t="s">
        <v>42</v>
      </c>
      <c r="C212" s="1015" t="s">
        <v>155</v>
      </c>
      <c r="D212" s="119">
        <v>1</v>
      </c>
      <c r="E212" s="120">
        <f>D212*E211</f>
        <v>45.2</v>
      </c>
      <c r="F212" s="121"/>
      <c r="G212" s="70"/>
      <c r="H212" s="121"/>
      <c r="I212" s="70">
        <f>H212*E212</f>
        <v>0</v>
      </c>
      <c r="J212" s="121"/>
      <c r="K212" s="70"/>
      <c r="L212" s="70">
        <f t="shared" ref="L212:L216" si="16">K212+I212+G212</f>
        <v>0</v>
      </c>
      <c r="M212" s="277"/>
      <c r="N212" s="287"/>
      <c r="O212" s="287"/>
    </row>
    <row r="213" spans="1:15" s="75" customFormat="1">
      <c r="A213" s="1015"/>
      <c r="B213" s="117" t="s">
        <v>49</v>
      </c>
      <c r="C213" s="118" t="s">
        <v>2</v>
      </c>
      <c r="D213" s="130">
        <v>7.0000000000000001E-3</v>
      </c>
      <c r="E213" s="1117">
        <f>D213*E211</f>
        <v>0.31640000000000001</v>
      </c>
      <c r="F213" s="121"/>
      <c r="G213" s="70"/>
      <c r="H213" s="121"/>
      <c r="I213" s="70"/>
      <c r="J213" s="121"/>
      <c r="K213" s="70">
        <f>E213*J213</f>
        <v>0</v>
      </c>
      <c r="L213" s="70">
        <f t="shared" si="16"/>
        <v>0</v>
      </c>
      <c r="M213" s="277"/>
      <c r="N213" s="287"/>
      <c r="O213" s="287"/>
    </row>
    <row r="214" spans="1:15" s="72" customFormat="1">
      <c r="A214" s="1024"/>
      <c r="B214" s="749" t="s">
        <v>377</v>
      </c>
      <c r="C214" s="727" t="s">
        <v>58</v>
      </c>
      <c r="D214" s="1025">
        <v>0.59</v>
      </c>
      <c r="E214" s="1125">
        <f>D214*E211</f>
        <v>26.667999999999999</v>
      </c>
      <c r="F214" s="1026"/>
      <c r="G214" s="123">
        <f t="shared" ref="G214:G215" si="17">F214*E214</f>
        <v>0</v>
      </c>
      <c r="H214" s="159"/>
      <c r="I214" s="156"/>
      <c r="J214" s="157"/>
      <c r="K214" s="156"/>
      <c r="L214" s="123">
        <f t="shared" si="16"/>
        <v>0</v>
      </c>
      <c r="M214" s="277"/>
      <c r="N214" s="284"/>
      <c r="O214" s="284"/>
    </row>
    <row r="215" spans="1:15" s="72" customFormat="1">
      <c r="A215" s="1024"/>
      <c r="B215" s="749" t="s">
        <v>378</v>
      </c>
      <c r="C215" s="727" t="s">
        <v>58</v>
      </c>
      <c r="D215" s="1025">
        <v>0.15</v>
      </c>
      <c r="E215" s="1125">
        <f>D215*E211</f>
        <v>6.78</v>
      </c>
      <c r="F215" s="1026"/>
      <c r="G215" s="123">
        <f t="shared" si="17"/>
        <v>0</v>
      </c>
      <c r="H215" s="159"/>
      <c r="I215" s="156"/>
      <c r="J215" s="157"/>
      <c r="K215" s="156"/>
      <c r="L215" s="123">
        <f t="shared" si="16"/>
        <v>0</v>
      </c>
      <c r="M215" s="277"/>
      <c r="N215" s="284"/>
      <c r="O215" s="284"/>
    </row>
    <row r="216" spans="1:15" s="72" customFormat="1">
      <c r="A216" s="154"/>
      <c r="B216" s="117" t="s">
        <v>51</v>
      </c>
      <c r="C216" s="118" t="s">
        <v>2</v>
      </c>
      <c r="D216" s="158">
        <v>3.3999999999999998E-3</v>
      </c>
      <c r="E216" s="159">
        <f>D216*E211</f>
        <v>0.15368000000000001</v>
      </c>
      <c r="F216" s="155"/>
      <c r="G216" s="123">
        <f>F216*E216</f>
        <v>0</v>
      </c>
      <c r="H216" s="159"/>
      <c r="I216" s="156"/>
      <c r="J216" s="157"/>
      <c r="K216" s="156"/>
      <c r="L216" s="123">
        <f t="shared" si="16"/>
        <v>0</v>
      </c>
      <c r="M216" s="277"/>
      <c r="N216" s="284"/>
      <c r="O216" s="284"/>
    </row>
    <row r="217" spans="1:15" s="13" customFormat="1" ht="30">
      <c r="A217" s="758">
        <v>44</v>
      </c>
      <c r="B217" s="723" t="s">
        <v>376</v>
      </c>
      <c r="C217" s="311" t="s">
        <v>151</v>
      </c>
      <c r="D217" s="819"/>
      <c r="E217" s="947">
        <v>10.7</v>
      </c>
      <c r="F217" s="948"/>
      <c r="G217" s="724"/>
      <c r="H217" s="948"/>
      <c r="I217" s="724"/>
      <c r="J217" s="948"/>
      <c r="K217" s="724"/>
      <c r="L217" s="724"/>
      <c r="M217" s="199"/>
      <c r="N217" s="199"/>
      <c r="O217" s="199"/>
    </row>
    <row r="218" spans="1:15" s="12" customFormat="1">
      <c r="A218" s="725"/>
      <c r="B218" s="1017" t="s">
        <v>368</v>
      </c>
      <c r="C218" s="752"/>
      <c r="D218" s="735"/>
      <c r="E218" s="765"/>
      <c r="F218" s="736"/>
      <c r="G218" s="729"/>
      <c r="H218" s="736"/>
      <c r="I218" s="729"/>
      <c r="J218" s="736"/>
      <c r="K218" s="729"/>
      <c r="L218" s="729"/>
      <c r="M218" s="192"/>
      <c r="N218" s="192"/>
      <c r="O218" s="192"/>
    </row>
    <row r="219" spans="1:15" s="71" customFormat="1">
      <c r="A219" s="374"/>
      <c r="B219" s="389"/>
      <c r="C219" s="384"/>
      <c r="D219" s="425"/>
      <c r="E219" s="399"/>
      <c r="F219" s="399"/>
      <c r="G219" s="380"/>
      <c r="H219" s="430"/>
      <c r="I219" s="431"/>
      <c r="J219" s="430"/>
      <c r="K219" s="431"/>
      <c r="L219" s="361"/>
      <c r="M219" s="277"/>
      <c r="N219" s="200"/>
      <c r="O219" s="200"/>
    </row>
    <row r="220" spans="1:15" s="71" customFormat="1">
      <c r="A220" s="733"/>
      <c r="B220" s="820" t="s">
        <v>275</v>
      </c>
      <c r="C220" s="727"/>
      <c r="D220" s="760"/>
      <c r="E220" s="755"/>
      <c r="F220" s="755"/>
      <c r="G220" s="739"/>
      <c r="H220" s="738"/>
      <c r="I220" s="737"/>
      <c r="J220" s="738"/>
      <c r="K220" s="737"/>
      <c r="L220" s="729"/>
      <c r="M220" s="277"/>
      <c r="N220" s="200"/>
      <c r="O220" s="200"/>
    </row>
    <row r="221" spans="1:15" s="370" customFormat="1" ht="50.4" customHeight="1">
      <c r="A221" s="750">
        <v>45</v>
      </c>
      <c r="B221" s="722" t="s">
        <v>299</v>
      </c>
      <c r="C221" s="723" t="s">
        <v>263</v>
      </c>
      <c r="D221" s="821"/>
      <c r="E221" s="822">
        <f>8.34+1.6</f>
        <v>9.94</v>
      </c>
      <c r="F221" s="750"/>
      <c r="G221" s="750"/>
      <c r="H221" s="750"/>
      <c r="I221" s="750"/>
      <c r="J221" s="750"/>
      <c r="K221" s="750"/>
      <c r="L221" s="750"/>
    </row>
    <row r="222" spans="1:15" s="18" customFormat="1" ht="22.8" customHeight="1">
      <c r="A222" s="725"/>
      <c r="B222" s="749" t="s">
        <v>42</v>
      </c>
      <c r="C222" s="727" t="s">
        <v>43</v>
      </c>
      <c r="D222" s="765">
        <v>2.06</v>
      </c>
      <c r="E222" s="728">
        <f>D222*E221</f>
        <v>20.476399999999998</v>
      </c>
      <c r="F222" s="729"/>
      <c r="G222" s="729"/>
      <c r="H222" s="729"/>
      <c r="I222" s="729">
        <f>H222*E222</f>
        <v>0</v>
      </c>
      <c r="J222" s="729"/>
      <c r="K222" s="729"/>
      <c r="L222" s="729">
        <f>K222+I222+G222</f>
        <v>0</v>
      </c>
    </row>
    <row r="223" spans="1:15" s="359" customFormat="1" ht="52.2" customHeight="1">
      <c r="A223" s="819">
        <v>46</v>
      </c>
      <c r="B223" s="810" t="s">
        <v>277</v>
      </c>
      <c r="C223" s="723" t="s">
        <v>263</v>
      </c>
      <c r="D223" s="821"/>
      <c r="E223" s="822">
        <v>1.51</v>
      </c>
      <c r="F223" s="819"/>
      <c r="G223" s="819"/>
      <c r="H223" s="819"/>
      <c r="I223" s="724"/>
      <c r="J223" s="819"/>
      <c r="K223" s="819"/>
      <c r="L223" s="819"/>
    </row>
    <row r="224" spans="1:15" s="359" customFormat="1">
      <c r="A224" s="725"/>
      <c r="B224" s="726" t="s">
        <v>42</v>
      </c>
      <c r="C224" s="727" t="s">
        <v>43</v>
      </c>
      <c r="D224" s="823">
        <v>0.89</v>
      </c>
      <c r="E224" s="824">
        <f>D224*E223</f>
        <v>1.3439000000000001</v>
      </c>
      <c r="F224" s="825"/>
      <c r="G224" s="824"/>
      <c r="H224" s="826"/>
      <c r="I224" s="827">
        <f>H224*E224</f>
        <v>0</v>
      </c>
      <c r="J224" s="828"/>
      <c r="K224" s="827"/>
      <c r="L224" s="827">
        <f>K224+I224+G224</f>
        <v>0</v>
      </c>
    </row>
    <row r="225" spans="1:17" s="359" customFormat="1" ht="17.399999999999999">
      <c r="A225" s="725"/>
      <c r="B225" s="730" t="s">
        <v>50</v>
      </c>
      <c r="C225" s="829" t="s">
        <v>143</v>
      </c>
      <c r="D225" s="829">
        <v>1.1499999999999999</v>
      </c>
      <c r="E225" s="829">
        <f>D225*E223</f>
        <v>1.7364999999999999</v>
      </c>
      <c r="F225" s="1031"/>
      <c r="G225" s="824">
        <f>F225*E225</f>
        <v>0</v>
      </c>
      <c r="H225" s="830"/>
      <c r="I225" s="827"/>
      <c r="J225" s="828"/>
      <c r="K225" s="827"/>
      <c r="L225" s="827">
        <f>G225</f>
        <v>0</v>
      </c>
    </row>
    <row r="226" spans="1:17" s="359" customFormat="1">
      <c r="A226" s="725"/>
      <c r="B226" s="726" t="s">
        <v>51</v>
      </c>
      <c r="C226" s="727" t="s">
        <v>2</v>
      </c>
      <c r="D226" s="825">
        <v>0.02</v>
      </c>
      <c r="E226" s="825">
        <f>D226*E223</f>
        <v>3.0200000000000001E-2</v>
      </c>
      <c r="F226" s="824"/>
      <c r="G226" s="824">
        <f>E226*F226</f>
        <v>0</v>
      </c>
      <c r="H226" s="830"/>
      <c r="I226" s="827"/>
      <c r="J226" s="828"/>
      <c r="K226" s="827"/>
      <c r="L226" s="827">
        <f>K226+I226+G226</f>
        <v>0</v>
      </c>
    </row>
    <row r="227" spans="1:17" s="280" customFormat="1" ht="30">
      <c r="A227" s="751">
        <v>47</v>
      </c>
      <c r="B227" s="741" t="s">
        <v>276</v>
      </c>
      <c r="C227" s="721" t="s">
        <v>148</v>
      </c>
      <c r="D227" s="778"/>
      <c r="E227" s="779">
        <v>0.63</v>
      </c>
      <c r="F227" s="779"/>
      <c r="G227" s="761"/>
      <c r="H227" s="779"/>
      <c r="I227" s="761"/>
      <c r="J227" s="779"/>
      <c r="K227" s="761"/>
      <c r="L227" s="761"/>
      <c r="M227" s="277"/>
    </row>
    <row r="228" spans="1:17" s="280" customFormat="1" ht="17.399999999999999">
      <c r="A228" s="733"/>
      <c r="B228" s="745" t="s">
        <v>52</v>
      </c>
      <c r="C228" s="725" t="s">
        <v>143</v>
      </c>
      <c r="D228" s="760">
        <v>1</v>
      </c>
      <c r="E228" s="755">
        <f>D228*E227</f>
        <v>0.63</v>
      </c>
      <c r="F228" s="755"/>
      <c r="G228" s="739"/>
      <c r="H228" s="755"/>
      <c r="I228" s="739">
        <f>H228*E228</f>
        <v>0</v>
      </c>
      <c r="J228" s="755"/>
      <c r="K228" s="739"/>
      <c r="L228" s="739">
        <f>K228+I228+G228</f>
        <v>0</v>
      </c>
      <c r="M228" s="277"/>
    </row>
    <row r="229" spans="1:17" s="281" customFormat="1">
      <c r="A229" s="753"/>
      <c r="B229" s="734" t="s">
        <v>49</v>
      </c>
      <c r="C229" s="725" t="s">
        <v>2</v>
      </c>
      <c r="D229" s="754">
        <v>0.28299999999999997</v>
      </c>
      <c r="E229" s="764">
        <f>D229*E227</f>
        <v>0.17828999999999998</v>
      </c>
      <c r="F229" s="764"/>
      <c r="G229" s="776"/>
      <c r="H229" s="764"/>
      <c r="I229" s="776"/>
      <c r="J229" s="764"/>
      <c r="K229" s="776">
        <f>J229*E229</f>
        <v>0</v>
      </c>
      <c r="L229" s="776">
        <f>K229+I229+G229</f>
        <v>0</v>
      </c>
      <c r="M229" s="277"/>
    </row>
    <row r="230" spans="1:17" s="280" customFormat="1" ht="17.399999999999999">
      <c r="A230" s="733"/>
      <c r="B230" s="745" t="s">
        <v>152</v>
      </c>
      <c r="C230" s="725" t="s">
        <v>143</v>
      </c>
      <c r="D230" s="760">
        <v>1.02</v>
      </c>
      <c r="E230" s="755">
        <f>D230*E227</f>
        <v>0.64260000000000006</v>
      </c>
      <c r="F230" s="755"/>
      <c r="G230" s="729">
        <f>F230*E230</f>
        <v>0</v>
      </c>
      <c r="H230" s="755"/>
      <c r="I230" s="739"/>
      <c r="J230" s="755"/>
      <c r="K230" s="739"/>
      <c r="L230" s="739">
        <f>K230+I230+G230</f>
        <v>0</v>
      </c>
      <c r="M230" s="277"/>
    </row>
    <row r="231" spans="1:17" s="281" customFormat="1">
      <c r="A231" s="753"/>
      <c r="B231" s="749" t="s">
        <v>51</v>
      </c>
      <c r="C231" s="725" t="s">
        <v>2</v>
      </c>
      <c r="D231" s="754">
        <v>0.62</v>
      </c>
      <c r="E231" s="764">
        <f>D231*E227</f>
        <v>0.3906</v>
      </c>
      <c r="F231" s="764"/>
      <c r="G231" s="777">
        <f>F231*E231</f>
        <v>0</v>
      </c>
      <c r="H231" s="764"/>
      <c r="I231" s="776"/>
      <c r="J231" s="764"/>
      <c r="K231" s="776"/>
      <c r="L231" s="776">
        <f>K231+I231+G231</f>
        <v>0</v>
      </c>
      <c r="M231" s="277"/>
    </row>
    <row r="232" spans="1:17" s="250" customFormat="1" ht="28.5" customHeight="1">
      <c r="A232" s="751">
        <v>48</v>
      </c>
      <c r="B232" s="846" t="s">
        <v>278</v>
      </c>
      <c r="C232" s="721" t="s">
        <v>148</v>
      </c>
      <c r="D232" s="847"/>
      <c r="E232" s="848">
        <v>2.7</v>
      </c>
      <c r="F232" s="847"/>
      <c r="G232" s="849"/>
      <c r="H232" s="848"/>
      <c r="I232" s="848"/>
      <c r="J232" s="848"/>
      <c r="K232" s="848"/>
      <c r="L232" s="848"/>
    </row>
    <row r="233" spans="1:17" s="213" customFormat="1" ht="17.399999999999999">
      <c r="A233" s="494"/>
      <c r="B233" s="745" t="s">
        <v>52</v>
      </c>
      <c r="C233" s="725" t="s">
        <v>143</v>
      </c>
      <c r="D233" s="831">
        <v>1</v>
      </c>
      <c r="E233" s="760">
        <f>D233*E232</f>
        <v>2.7</v>
      </c>
      <c r="F233" s="495"/>
      <c r="G233" s="495"/>
      <c r="H233" s="489"/>
      <c r="I233" s="1115">
        <f>H233*E233</f>
        <v>0</v>
      </c>
      <c r="J233" s="1115"/>
      <c r="K233" s="1115"/>
      <c r="L233" s="1115">
        <f>K233+I233+G233</f>
        <v>0</v>
      </c>
    </row>
    <row r="234" spans="1:17" s="249" customFormat="1">
      <c r="A234" s="783"/>
      <c r="B234" s="734" t="s">
        <v>49</v>
      </c>
      <c r="C234" s="725" t="s">
        <v>2</v>
      </c>
      <c r="D234" s="832">
        <v>0.92</v>
      </c>
      <c r="E234" s="760">
        <f>D234*E232</f>
        <v>2.4840000000000004</v>
      </c>
      <c r="F234" s="832"/>
      <c r="G234" s="832"/>
      <c r="H234" s="832"/>
      <c r="I234" s="832"/>
      <c r="J234" s="832"/>
      <c r="K234" s="833">
        <f>J234*E234</f>
        <v>0</v>
      </c>
      <c r="L234" s="833">
        <f>K234+I234+G234</f>
        <v>0</v>
      </c>
    </row>
    <row r="235" spans="1:17" s="213" customFormat="1" ht="17.399999999999999">
      <c r="A235" s="494"/>
      <c r="B235" s="745" t="s">
        <v>160</v>
      </c>
      <c r="C235" s="725" t="s">
        <v>143</v>
      </c>
      <c r="D235" s="496">
        <v>1.0149999999999999</v>
      </c>
      <c r="E235" s="1027">
        <f>D235*E232</f>
        <v>2.7404999999999999</v>
      </c>
      <c r="F235" s="1115"/>
      <c r="G235" s="615">
        <f>F235*E235</f>
        <v>0</v>
      </c>
      <c r="H235" s="495"/>
      <c r="I235" s="495"/>
      <c r="J235" s="495"/>
      <c r="K235" s="495"/>
      <c r="L235" s="489">
        <f>K235+I235+G235</f>
        <v>0</v>
      </c>
    </row>
    <row r="236" spans="1:17" ht="13.5" customHeight="1">
      <c r="A236" s="677"/>
      <c r="B236" s="679" t="s">
        <v>264</v>
      </c>
      <c r="C236" s="637" t="s">
        <v>48</v>
      </c>
      <c r="D236" s="834"/>
      <c r="E236" s="835">
        <f>160/1000*1.01</f>
        <v>0.16159999999999999</v>
      </c>
      <c r="F236" s="836"/>
      <c r="G236" s="615">
        <f t="shared" ref="G236:G240" si="18">F236*E236</f>
        <v>0</v>
      </c>
      <c r="H236" s="837"/>
      <c r="I236" s="838"/>
      <c r="J236" s="839"/>
      <c r="K236" s="839"/>
      <c r="L236" s="615">
        <f t="shared" ref="L236:L240" si="19">K236+I236+G236</f>
        <v>0</v>
      </c>
    </row>
    <row r="237" spans="1:17" s="1" customFormat="1">
      <c r="A237" s="782"/>
      <c r="B237" s="726" t="s">
        <v>60</v>
      </c>
      <c r="C237" s="727" t="s">
        <v>48</v>
      </c>
      <c r="D237" s="747"/>
      <c r="E237" s="784">
        <f>3/1000*1.01</f>
        <v>3.0300000000000001E-3</v>
      </c>
      <c r="F237" s="763"/>
      <c r="G237" s="780">
        <f>F237*E237</f>
        <v>0</v>
      </c>
      <c r="H237" s="780"/>
      <c r="I237" s="781"/>
      <c r="J237" s="780"/>
      <c r="K237" s="781"/>
      <c r="L237" s="781">
        <f t="shared" si="19"/>
        <v>0</v>
      </c>
      <c r="M237" s="359"/>
      <c r="N237" s="359"/>
      <c r="O237" s="359"/>
      <c r="P237" s="359"/>
      <c r="Q237" s="359"/>
    </row>
    <row r="238" spans="1:17" s="249" customFormat="1" ht="17.399999999999999">
      <c r="A238" s="677"/>
      <c r="B238" s="716" t="s">
        <v>133</v>
      </c>
      <c r="C238" s="637" t="s">
        <v>142</v>
      </c>
      <c r="D238" s="637">
        <v>0.70299999999999996</v>
      </c>
      <c r="E238" s="615">
        <f>D238*E232</f>
        <v>1.8981000000000001</v>
      </c>
      <c r="F238" s="615"/>
      <c r="G238" s="658">
        <f t="shared" si="18"/>
        <v>0</v>
      </c>
      <c r="H238" s="615"/>
      <c r="I238" s="838"/>
      <c r="J238" s="839"/>
      <c r="K238" s="839"/>
      <c r="L238" s="658">
        <f t="shared" si="19"/>
        <v>0</v>
      </c>
    </row>
    <row r="239" spans="1:17" s="249" customFormat="1" ht="17.399999999999999">
      <c r="A239" s="677"/>
      <c r="B239" s="716" t="s">
        <v>54</v>
      </c>
      <c r="C239" s="717" t="s">
        <v>143</v>
      </c>
      <c r="D239" s="637">
        <v>1.14E-2</v>
      </c>
      <c r="E239" s="615">
        <f>D239*E232</f>
        <v>3.0780000000000002E-2</v>
      </c>
      <c r="F239" s="840"/>
      <c r="G239" s="658">
        <f t="shared" si="18"/>
        <v>0</v>
      </c>
      <c r="H239" s="615"/>
      <c r="I239" s="838"/>
      <c r="J239" s="839"/>
      <c r="K239" s="839"/>
      <c r="L239" s="658">
        <f t="shared" si="19"/>
        <v>0</v>
      </c>
    </row>
    <row r="240" spans="1:17" s="249" customFormat="1">
      <c r="A240" s="841"/>
      <c r="B240" s="716" t="s">
        <v>51</v>
      </c>
      <c r="C240" s="637" t="s">
        <v>2</v>
      </c>
      <c r="D240" s="842">
        <v>0.6</v>
      </c>
      <c r="E240" s="843">
        <f>D240*E232</f>
        <v>1.62</v>
      </c>
      <c r="F240" s="844"/>
      <c r="G240" s="845">
        <f t="shared" si="18"/>
        <v>0</v>
      </c>
      <c r="H240" s="843"/>
      <c r="I240" s="843"/>
      <c r="J240" s="843"/>
      <c r="K240" s="843"/>
      <c r="L240" s="843">
        <f t="shared" si="19"/>
        <v>0</v>
      </c>
    </row>
    <row r="241" spans="1:12" s="250" customFormat="1" ht="27.6">
      <c r="A241" s="850">
        <v>49</v>
      </c>
      <c r="B241" s="851" t="s">
        <v>280</v>
      </c>
      <c r="C241" s="635" t="s">
        <v>151</v>
      </c>
      <c r="D241" s="852"/>
      <c r="E241" s="853">
        <v>14.64</v>
      </c>
      <c r="F241" s="852"/>
      <c r="G241" s="854"/>
      <c r="H241" s="853"/>
      <c r="I241" s="853"/>
      <c r="J241" s="853"/>
      <c r="K241" s="853"/>
      <c r="L241" s="853"/>
    </row>
    <row r="242" spans="1:12" s="213" customFormat="1">
      <c r="A242" s="494"/>
      <c r="B242" s="679" t="s">
        <v>52</v>
      </c>
      <c r="C242" s="717" t="s">
        <v>43</v>
      </c>
      <c r="D242" s="855">
        <v>0.33600000000000002</v>
      </c>
      <c r="E242" s="856">
        <f>D242*E241</f>
        <v>4.9190400000000007</v>
      </c>
      <c r="F242" s="495"/>
      <c r="G242" s="495"/>
      <c r="H242" s="857"/>
      <c r="I242" s="1115">
        <f>H242*E242</f>
        <v>0</v>
      </c>
      <c r="J242" s="1115"/>
      <c r="K242" s="1115"/>
      <c r="L242" s="1115">
        <f>K242+I242+G242</f>
        <v>0</v>
      </c>
    </row>
    <row r="243" spans="1:12" s="249" customFormat="1">
      <c r="A243" s="783"/>
      <c r="B243" s="858" t="s">
        <v>49</v>
      </c>
      <c r="C243" s="637" t="s">
        <v>2</v>
      </c>
      <c r="D243" s="859">
        <v>1.4999999999999999E-2</v>
      </c>
      <c r="E243" s="856">
        <f>D243*E241</f>
        <v>0.21959999999999999</v>
      </c>
      <c r="F243" s="832"/>
      <c r="G243" s="832"/>
      <c r="H243" s="832"/>
      <c r="I243" s="832"/>
      <c r="J243" s="832"/>
      <c r="K243" s="833">
        <f>J243*E243</f>
        <v>0</v>
      </c>
      <c r="L243" s="833">
        <f>K243+I243+G243</f>
        <v>0</v>
      </c>
    </row>
    <row r="244" spans="1:12" s="249" customFormat="1">
      <c r="A244" s="783"/>
      <c r="B244" s="858" t="s">
        <v>281</v>
      </c>
      <c r="C244" s="637" t="s">
        <v>58</v>
      </c>
      <c r="D244" s="832">
        <v>2.4</v>
      </c>
      <c r="E244" s="856">
        <f>D244*E241</f>
        <v>35.136000000000003</v>
      </c>
      <c r="F244" s="1028"/>
      <c r="G244" s="658">
        <f t="shared" ref="G244:G245" si="20">F244*E244</f>
        <v>0</v>
      </c>
      <c r="H244" s="615"/>
      <c r="I244" s="838"/>
      <c r="J244" s="839"/>
      <c r="K244" s="839"/>
      <c r="L244" s="658">
        <f t="shared" ref="L244:L245" si="21">K244+I244+G244</f>
        <v>0</v>
      </c>
    </row>
    <row r="245" spans="1:12" s="249" customFormat="1">
      <c r="A245" s="841"/>
      <c r="B245" s="716" t="s">
        <v>51</v>
      </c>
      <c r="C245" s="637" t="s">
        <v>2</v>
      </c>
      <c r="D245" s="842">
        <v>2.2800000000000001E-2</v>
      </c>
      <c r="E245" s="856">
        <f>D245*E241</f>
        <v>0.33379200000000003</v>
      </c>
      <c r="F245" s="841"/>
      <c r="G245" s="845">
        <f t="shared" si="20"/>
        <v>0</v>
      </c>
      <c r="H245" s="843"/>
      <c r="I245" s="843"/>
      <c r="J245" s="843"/>
      <c r="K245" s="843"/>
      <c r="L245" s="843">
        <f t="shared" si="21"/>
        <v>0</v>
      </c>
    </row>
    <row r="246" spans="1:12" s="378" customFormat="1" ht="27.6">
      <c r="A246" s="860">
        <v>50</v>
      </c>
      <c r="B246" s="874" t="s">
        <v>283</v>
      </c>
      <c r="C246" s="713" t="s">
        <v>148</v>
      </c>
      <c r="D246" s="861"/>
      <c r="E246" s="860">
        <f>8*0.1</f>
        <v>0.8</v>
      </c>
      <c r="F246" s="861"/>
      <c r="G246" s="861"/>
      <c r="H246" s="861"/>
      <c r="I246" s="861"/>
      <c r="J246" s="861"/>
      <c r="K246" s="861"/>
      <c r="L246" s="861"/>
    </row>
    <row r="247" spans="1:12" s="213" customFormat="1">
      <c r="A247" s="494"/>
      <c r="B247" s="679" t="s">
        <v>52</v>
      </c>
      <c r="C247" s="637" t="s">
        <v>43</v>
      </c>
      <c r="D247" s="862">
        <v>3.52</v>
      </c>
      <c r="E247" s="649">
        <f>D247*E246</f>
        <v>2.8160000000000003</v>
      </c>
      <c r="F247" s="495"/>
      <c r="G247" s="495"/>
      <c r="H247" s="489"/>
      <c r="I247" s="1115">
        <f>H247*E247</f>
        <v>0</v>
      </c>
      <c r="J247" s="1115"/>
      <c r="K247" s="1115"/>
      <c r="L247" s="1115">
        <f>K247+I247+G247</f>
        <v>0</v>
      </c>
    </row>
    <row r="248" spans="1:12" s="387" customFormat="1">
      <c r="A248" s="457"/>
      <c r="B248" s="863" t="s">
        <v>49</v>
      </c>
      <c r="C248" s="637" t="s">
        <v>2</v>
      </c>
      <c r="D248" s="466">
        <v>1.06</v>
      </c>
      <c r="E248" s="467">
        <f>D248*E246</f>
        <v>0.84800000000000009</v>
      </c>
      <c r="F248" s="466"/>
      <c r="G248" s="466"/>
      <c r="H248" s="466"/>
      <c r="I248" s="466"/>
      <c r="J248" s="466"/>
      <c r="K248" s="468">
        <f>J248*E248</f>
        <v>0</v>
      </c>
      <c r="L248" s="468">
        <f>K248+I248+G248</f>
        <v>0</v>
      </c>
    </row>
    <row r="249" spans="1:12" s="497" customFormat="1" ht="17.399999999999999">
      <c r="A249" s="864"/>
      <c r="B249" s="865" t="s">
        <v>46</v>
      </c>
      <c r="C249" s="866" t="s">
        <v>282</v>
      </c>
      <c r="D249" s="867">
        <v>1.24</v>
      </c>
      <c r="E249" s="867">
        <f>D249*E246</f>
        <v>0.99199999999999999</v>
      </c>
      <c r="F249" s="867"/>
      <c r="G249" s="1195">
        <f>E249*F249</f>
        <v>0</v>
      </c>
      <c r="H249" s="868"/>
      <c r="I249" s="868"/>
      <c r="J249" s="868"/>
      <c r="K249" s="868"/>
      <c r="L249" s="1196">
        <f>K249+I249+G249</f>
        <v>0</v>
      </c>
    </row>
    <row r="250" spans="1:12" s="873" customFormat="1">
      <c r="A250" s="869"/>
      <c r="B250" s="870" t="s">
        <v>137</v>
      </c>
      <c r="C250" s="866" t="s">
        <v>2</v>
      </c>
      <c r="D250" s="871">
        <v>0.02</v>
      </c>
      <c r="E250" s="872">
        <f>D250*E236</f>
        <v>3.2320000000000001E-3</v>
      </c>
      <c r="F250" s="868"/>
      <c r="G250" s="1195">
        <f>E250*F250</f>
        <v>0</v>
      </c>
      <c r="H250" s="868"/>
      <c r="I250" s="868"/>
      <c r="J250" s="868"/>
      <c r="K250" s="868"/>
      <c r="L250" s="1196">
        <f>K250+I250+G250</f>
        <v>0</v>
      </c>
    </row>
    <row r="251" spans="1:12" s="359" customFormat="1" ht="21" customHeight="1">
      <c r="A251" s="879">
        <v>51</v>
      </c>
      <c r="B251" s="880" t="s">
        <v>285</v>
      </c>
      <c r="C251" s="879" t="s">
        <v>151</v>
      </c>
      <c r="D251" s="881"/>
      <c r="E251" s="882">
        <v>8.61</v>
      </c>
      <c r="F251" s="883"/>
      <c r="G251" s="617"/>
      <c r="H251" s="883"/>
      <c r="I251" s="884"/>
      <c r="J251" s="883"/>
      <c r="K251" s="884"/>
      <c r="L251" s="884"/>
    </row>
    <row r="252" spans="1:12" s="359" customFormat="1" ht="18.600000000000001" customHeight="1">
      <c r="A252" s="618"/>
      <c r="B252" s="716" t="s">
        <v>42</v>
      </c>
      <c r="C252" s="637" t="s">
        <v>142</v>
      </c>
      <c r="D252" s="717">
        <v>1</v>
      </c>
      <c r="E252" s="718">
        <f>E251*D252</f>
        <v>8.61</v>
      </c>
      <c r="F252" s="623"/>
      <c r="G252" s="623"/>
      <c r="H252" s="623"/>
      <c r="I252" s="875">
        <f>H252*E252</f>
        <v>0</v>
      </c>
      <c r="J252" s="623"/>
      <c r="K252" s="875"/>
      <c r="L252" s="875">
        <f t="shared" ref="L252:L256" si="22">K252+I252+G252</f>
        <v>0</v>
      </c>
    </row>
    <row r="253" spans="1:12" s="359" customFormat="1">
      <c r="A253" s="618"/>
      <c r="B253" s="716" t="s">
        <v>49</v>
      </c>
      <c r="C253" s="717" t="s">
        <v>2</v>
      </c>
      <c r="D253" s="876">
        <f>(1.74+14*0.28)/100</f>
        <v>5.6600000000000004E-2</v>
      </c>
      <c r="E253" s="877">
        <f>E251*D253</f>
        <v>0.48732599999999998</v>
      </c>
      <c r="F253" s="623"/>
      <c r="G253" s="623"/>
      <c r="H253" s="623"/>
      <c r="I253" s="875"/>
      <c r="J253" s="623"/>
      <c r="K253" s="875">
        <f>J253*E253</f>
        <v>0</v>
      </c>
      <c r="L253" s="875">
        <f t="shared" si="22"/>
        <v>0</v>
      </c>
    </row>
    <row r="254" spans="1:12" s="359" customFormat="1" ht="17.399999999999999">
      <c r="A254" s="618"/>
      <c r="B254" s="679" t="s">
        <v>160</v>
      </c>
      <c r="C254" s="717" t="s">
        <v>143</v>
      </c>
      <c r="D254" s="876">
        <f>(3.06+14*0.51)/100</f>
        <v>0.10200000000000001</v>
      </c>
      <c r="E254" s="877">
        <f>E251*D254</f>
        <v>0.87822</v>
      </c>
      <c r="F254" s="1115"/>
      <c r="G254" s="623">
        <f>F254*E254</f>
        <v>0</v>
      </c>
      <c r="H254" s="623"/>
      <c r="I254" s="875"/>
      <c r="J254" s="623"/>
      <c r="K254" s="875"/>
      <c r="L254" s="875">
        <f t="shared" si="22"/>
        <v>0</v>
      </c>
    </row>
    <row r="255" spans="1:12" s="249" customFormat="1" ht="21" customHeight="1">
      <c r="A255" s="783"/>
      <c r="B255" s="858" t="s">
        <v>284</v>
      </c>
      <c r="C255" s="252" t="s">
        <v>55</v>
      </c>
      <c r="D255" s="832"/>
      <c r="E255" s="835">
        <v>3.4000000000000002E-2</v>
      </c>
      <c r="F255" s="885"/>
      <c r="G255" s="843">
        <f t="shared" ref="G255" si="23">F255*E255</f>
        <v>0</v>
      </c>
      <c r="H255" s="833"/>
      <c r="I255" s="833"/>
      <c r="J255" s="833"/>
      <c r="K255" s="833"/>
      <c r="L255" s="833">
        <f t="shared" si="22"/>
        <v>0</v>
      </c>
    </row>
    <row r="256" spans="1:12" s="359" customFormat="1">
      <c r="A256" s="618"/>
      <c r="B256" s="716" t="s">
        <v>51</v>
      </c>
      <c r="C256" s="717" t="s">
        <v>2</v>
      </c>
      <c r="D256" s="876">
        <v>6.6400000000000001E-2</v>
      </c>
      <c r="E256" s="877">
        <f>E251*D256</f>
        <v>0.57170399999999999</v>
      </c>
      <c r="F256" s="878"/>
      <c r="G256" s="623">
        <f>F256*E256</f>
        <v>0</v>
      </c>
      <c r="H256" s="623"/>
      <c r="I256" s="875"/>
      <c r="J256" s="623"/>
      <c r="K256" s="875"/>
      <c r="L256" s="875">
        <f t="shared" si="22"/>
        <v>0</v>
      </c>
    </row>
    <row r="257" spans="1:13" s="282" customFormat="1" ht="13.8">
      <c r="A257" s="850">
        <v>52</v>
      </c>
      <c r="B257" s="934" t="s">
        <v>318</v>
      </c>
      <c r="C257" s="850" t="s">
        <v>48</v>
      </c>
      <c r="D257" s="913"/>
      <c r="E257" s="914">
        <v>3.62E-3</v>
      </c>
      <c r="F257" s="914"/>
      <c r="G257" s="853"/>
      <c r="H257" s="914"/>
      <c r="I257" s="853"/>
      <c r="J257" s="914"/>
      <c r="K257" s="853"/>
      <c r="L257" s="853"/>
      <c r="M257" s="277"/>
    </row>
    <row r="258" spans="1:13" s="192" customFormat="1">
      <c r="A258" s="637"/>
      <c r="B258" s="907" t="s">
        <v>42</v>
      </c>
      <c r="C258" s="717" t="s">
        <v>61</v>
      </c>
      <c r="D258" s="928">
        <v>123</v>
      </c>
      <c r="E258" s="929">
        <f>D258*E257</f>
        <v>0.44525999999999999</v>
      </c>
      <c r="F258" s="840"/>
      <c r="G258" s="615"/>
      <c r="H258" s="840"/>
      <c r="I258" s="615">
        <f>H258*E258</f>
        <v>0</v>
      </c>
      <c r="J258" s="840"/>
      <c r="K258" s="615"/>
      <c r="L258" s="615">
        <f t="shared" ref="L258:L261" si="24">K258+I258+G258</f>
        <v>0</v>
      </c>
      <c r="M258" s="277"/>
    </row>
    <row r="259" spans="1:13" s="192" customFormat="1">
      <c r="A259" s="618"/>
      <c r="B259" s="907" t="s">
        <v>49</v>
      </c>
      <c r="C259" s="717" t="s">
        <v>2</v>
      </c>
      <c r="D259" s="930">
        <v>2.2000000000000002</v>
      </c>
      <c r="E259" s="931">
        <f>E257*D259</f>
        <v>7.9640000000000006E-3</v>
      </c>
      <c r="F259" s="932"/>
      <c r="G259" s="623"/>
      <c r="H259" s="932"/>
      <c r="I259" s="875"/>
      <c r="J259" s="932"/>
      <c r="K259" s="875">
        <f>J259*E259</f>
        <v>0</v>
      </c>
      <c r="L259" s="875">
        <f t="shared" si="24"/>
        <v>0</v>
      </c>
      <c r="M259" s="277"/>
    </row>
    <row r="260" spans="1:13" s="281" customFormat="1">
      <c r="A260" s="841"/>
      <c r="B260" s="933" t="s">
        <v>319</v>
      </c>
      <c r="C260" s="841" t="s">
        <v>48</v>
      </c>
      <c r="D260" s="844"/>
      <c r="E260" s="1029">
        <v>3.62E-3</v>
      </c>
      <c r="F260" s="1030"/>
      <c r="G260" s="623">
        <f>F260*E260</f>
        <v>0</v>
      </c>
      <c r="H260" s="932"/>
      <c r="I260" s="875"/>
      <c r="J260" s="932"/>
      <c r="K260" s="875"/>
      <c r="L260" s="875">
        <f t="shared" si="24"/>
        <v>0</v>
      </c>
      <c r="M260" s="277"/>
    </row>
    <row r="261" spans="1:13" s="192" customFormat="1">
      <c r="A261" s="618"/>
      <c r="B261" s="907" t="s">
        <v>51</v>
      </c>
      <c r="C261" s="717" t="s">
        <v>2</v>
      </c>
      <c r="D261" s="930">
        <v>0.4</v>
      </c>
      <c r="E261" s="931">
        <f>E257*D261</f>
        <v>1.4480000000000001E-3</v>
      </c>
      <c r="F261" s="932"/>
      <c r="G261" s="623">
        <f>F261*E261</f>
        <v>0</v>
      </c>
      <c r="H261" s="932"/>
      <c r="I261" s="875"/>
      <c r="J261" s="932"/>
      <c r="K261" s="875"/>
      <c r="L261" s="875">
        <f t="shared" si="24"/>
        <v>0</v>
      </c>
      <c r="M261" s="277"/>
    </row>
    <row r="262" spans="1:13" s="903" customFormat="1" ht="28.5" customHeight="1">
      <c r="A262" s="900">
        <v>53</v>
      </c>
      <c r="B262" s="900" t="s">
        <v>286</v>
      </c>
      <c r="C262" s="900" t="s">
        <v>287</v>
      </c>
      <c r="D262" s="900"/>
      <c r="E262" s="900">
        <v>0.34100000000000003</v>
      </c>
      <c r="F262" s="901"/>
      <c r="G262" s="901"/>
      <c r="H262" s="901"/>
      <c r="I262" s="901"/>
      <c r="J262" s="902"/>
      <c r="K262" s="900"/>
      <c r="L262" s="900"/>
    </row>
    <row r="263" spans="1:13" s="886" customFormat="1" ht="17.399999999999999">
      <c r="A263" s="890"/>
      <c r="B263" s="888" t="s">
        <v>195</v>
      </c>
      <c r="C263" s="890" t="s">
        <v>136</v>
      </c>
      <c r="D263" s="889">
        <v>1</v>
      </c>
      <c r="E263" s="889">
        <f>E262*D263</f>
        <v>0.34100000000000003</v>
      </c>
      <c r="H263" s="896"/>
      <c r="I263" s="896">
        <f>E263*H263</f>
        <v>0</v>
      </c>
      <c r="J263" s="897"/>
      <c r="K263" s="897"/>
      <c r="L263" s="896">
        <f>I263</f>
        <v>0</v>
      </c>
    </row>
    <row r="264" spans="1:13" s="887" customFormat="1" ht="16.2">
      <c r="A264" s="898"/>
      <c r="B264" s="888" t="s">
        <v>188</v>
      </c>
      <c r="C264" s="890" t="s">
        <v>64</v>
      </c>
      <c r="D264" s="889">
        <v>2.06</v>
      </c>
      <c r="E264" s="889">
        <f>D264*E262</f>
        <v>0.70246000000000008</v>
      </c>
      <c r="F264" s="896"/>
      <c r="G264" s="890"/>
      <c r="H264" s="899"/>
      <c r="I264" s="899"/>
      <c r="J264" s="899"/>
      <c r="K264" s="896">
        <f>E264*J264</f>
        <v>0</v>
      </c>
      <c r="L264" s="896">
        <f>K264</f>
        <v>0</v>
      </c>
    </row>
    <row r="265" spans="1:13" s="886" customFormat="1" ht="17.399999999999999">
      <c r="A265" s="890"/>
      <c r="B265" s="888" t="s">
        <v>189</v>
      </c>
      <c r="C265" s="890" t="s">
        <v>67</v>
      </c>
      <c r="D265" s="889">
        <v>0.17</v>
      </c>
      <c r="E265" s="889">
        <f>E262*D265</f>
        <v>5.7970000000000008E-2</v>
      </c>
      <c r="F265" s="899"/>
      <c r="G265" s="897"/>
      <c r="H265" s="896"/>
      <c r="I265" s="896"/>
      <c r="J265" s="896"/>
      <c r="K265" s="896">
        <f>E265*J265</f>
        <v>0</v>
      </c>
      <c r="L265" s="896">
        <f>K265</f>
        <v>0</v>
      </c>
    </row>
    <row r="266" spans="1:13" s="886" customFormat="1" ht="17.399999999999999">
      <c r="A266" s="890"/>
      <c r="B266" s="888" t="s">
        <v>290</v>
      </c>
      <c r="C266" s="890" t="s">
        <v>287</v>
      </c>
      <c r="D266" s="944"/>
      <c r="E266" s="940">
        <v>0.28637000000000001</v>
      </c>
      <c r="F266" s="941"/>
      <c r="G266" s="623">
        <f>F266*E266</f>
        <v>0</v>
      </c>
      <c r="H266" s="623"/>
      <c r="I266" s="875"/>
      <c r="J266" s="623"/>
      <c r="K266" s="875"/>
      <c r="L266" s="875">
        <f t="shared" ref="L266" si="25">K266+I266+G266</f>
        <v>0</v>
      </c>
    </row>
    <row r="267" spans="1:13" s="886" customFormat="1" ht="17.399999999999999">
      <c r="A267" s="890"/>
      <c r="B267" s="888" t="s">
        <v>291</v>
      </c>
      <c r="C267" s="890" t="s">
        <v>287</v>
      </c>
      <c r="D267" s="944"/>
      <c r="E267" s="940">
        <v>1.7000000000000001E-2</v>
      </c>
      <c r="F267" s="941"/>
      <c r="G267" s="623">
        <f>F267*E267</f>
        <v>0</v>
      </c>
      <c r="H267" s="623"/>
      <c r="I267" s="875"/>
      <c r="J267" s="623"/>
      <c r="K267" s="875"/>
      <c r="L267" s="875">
        <f t="shared" ref="L267" si="26">K267+I267+G267</f>
        <v>0</v>
      </c>
    </row>
    <row r="268" spans="1:13" s="886" customFormat="1" ht="17.399999999999999">
      <c r="A268" s="890"/>
      <c r="B268" s="888" t="s">
        <v>292</v>
      </c>
      <c r="C268" s="890" t="s">
        <v>287</v>
      </c>
      <c r="D268" s="944"/>
      <c r="E268" s="940">
        <v>1.6719999999999999E-2</v>
      </c>
      <c r="F268" s="941"/>
      <c r="G268" s="623">
        <f>F268*E268</f>
        <v>0</v>
      </c>
      <c r="H268" s="623"/>
      <c r="I268" s="875"/>
      <c r="J268" s="623"/>
      <c r="K268" s="875"/>
      <c r="L268" s="875">
        <f t="shared" ref="L268" si="27">K268+I268+G268</f>
        <v>0</v>
      </c>
    </row>
    <row r="269" spans="1:13" s="886" customFormat="1" ht="17.399999999999999">
      <c r="A269" s="890"/>
      <c r="B269" s="888" t="s">
        <v>293</v>
      </c>
      <c r="C269" s="890" t="s">
        <v>287</v>
      </c>
      <c r="D269" s="944"/>
      <c r="E269" s="940">
        <v>3.2200000000000002E-3</v>
      </c>
      <c r="F269" s="941"/>
      <c r="G269" s="623">
        <f t="shared" ref="G269:G270" si="28">F269*E269</f>
        <v>0</v>
      </c>
      <c r="H269" s="623"/>
      <c r="I269" s="875"/>
      <c r="J269" s="623"/>
      <c r="K269" s="875"/>
      <c r="L269" s="875">
        <f t="shared" ref="L269:L270" si="29">K269+I269+G269</f>
        <v>0</v>
      </c>
    </row>
    <row r="270" spans="1:13" s="886" customFormat="1" ht="17.399999999999999">
      <c r="A270" s="890"/>
      <c r="B270" s="888" t="s">
        <v>294</v>
      </c>
      <c r="C270" s="890" t="s">
        <v>287</v>
      </c>
      <c r="D270" s="944"/>
      <c r="E270" s="940">
        <v>1.438E-2</v>
      </c>
      <c r="F270" s="941"/>
      <c r="G270" s="623">
        <f t="shared" si="28"/>
        <v>0</v>
      </c>
      <c r="H270" s="623"/>
      <c r="I270" s="875"/>
      <c r="J270" s="623"/>
      <c r="K270" s="875"/>
      <c r="L270" s="875">
        <f t="shared" si="29"/>
        <v>0</v>
      </c>
    </row>
    <row r="271" spans="1:13" s="886" customFormat="1" ht="17.399999999999999">
      <c r="A271" s="890"/>
      <c r="B271" s="888" t="s">
        <v>191</v>
      </c>
      <c r="C271" s="890" t="s">
        <v>288</v>
      </c>
      <c r="D271" s="944">
        <v>5</v>
      </c>
      <c r="E271" s="940">
        <f>E262*D271</f>
        <v>1.7050000000000001</v>
      </c>
      <c r="F271" s="944"/>
      <c r="G271" s="896">
        <f>E271*F271</f>
        <v>0</v>
      </c>
      <c r="H271" s="905"/>
      <c r="I271" s="905"/>
      <c r="J271" s="897"/>
      <c r="K271" s="897"/>
      <c r="L271" s="896">
        <f>G271</f>
        <v>0</v>
      </c>
    </row>
    <row r="272" spans="1:13" s="886" customFormat="1" ht="17.399999999999999">
      <c r="A272" s="890"/>
      <c r="B272" s="888" t="s">
        <v>289</v>
      </c>
      <c r="C272" s="890" t="s">
        <v>288</v>
      </c>
      <c r="D272" s="890">
        <v>12</v>
      </c>
      <c r="E272" s="889">
        <f>E262*D272</f>
        <v>4.0920000000000005</v>
      </c>
      <c r="F272" s="896"/>
      <c r="G272" s="896">
        <f>E272*F272</f>
        <v>0</v>
      </c>
      <c r="H272" s="905"/>
      <c r="I272" s="905"/>
      <c r="J272" s="897"/>
      <c r="K272" s="897"/>
      <c r="L272" s="896">
        <f>G272</f>
        <v>0</v>
      </c>
    </row>
    <row r="273" spans="1:15" s="886" customFormat="1" ht="17.399999999999999">
      <c r="A273" s="891"/>
      <c r="B273" s="904" t="s">
        <v>194</v>
      </c>
      <c r="C273" s="892" t="s">
        <v>67</v>
      </c>
      <c r="D273" s="893">
        <v>2.78</v>
      </c>
      <c r="E273" s="894">
        <f>E262*D273</f>
        <v>0.94798000000000004</v>
      </c>
      <c r="F273" s="895"/>
      <c r="G273" s="896">
        <f>E273*F273</f>
        <v>0</v>
      </c>
      <c r="H273" s="905"/>
      <c r="I273" s="905"/>
      <c r="J273" s="897"/>
      <c r="K273" s="897"/>
      <c r="L273" s="895">
        <f>G273</f>
        <v>0</v>
      </c>
    </row>
    <row r="274" spans="1:15" s="12" customFormat="1" ht="45">
      <c r="A274" s="311">
        <v>54</v>
      </c>
      <c r="B274" s="302" t="s">
        <v>68</v>
      </c>
      <c r="C274" s="311" t="s">
        <v>153</v>
      </c>
      <c r="D274" s="410"/>
      <c r="E274" s="395">
        <v>12.07</v>
      </c>
      <c r="F274" s="317"/>
      <c r="G274" s="318"/>
      <c r="H274" s="317"/>
      <c r="I274" s="318"/>
      <c r="J274" s="317"/>
      <c r="K274" s="318"/>
      <c r="L274" s="318"/>
      <c r="M274" s="277"/>
      <c r="N274" s="192"/>
      <c r="O274" s="192"/>
    </row>
    <row r="275" spans="1:15" s="12" customFormat="1" ht="17.399999999999999">
      <c r="A275" s="610"/>
      <c r="B275" s="117" t="s">
        <v>42</v>
      </c>
      <c r="C275" s="1058" t="s">
        <v>155</v>
      </c>
      <c r="D275" s="119">
        <v>1</v>
      </c>
      <c r="E275" s="120">
        <f>D275*E274</f>
        <v>12.07</v>
      </c>
      <c r="F275" s="121"/>
      <c r="G275" s="70"/>
      <c r="H275" s="121"/>
      <c r="I275" s="70">
        <f>H275*E275</f>
        <v>0</v>
      </c>
      <c r="J275" s="121"/>
      <c r="K275" s="70"/>
      <c r="L275" s="70">
        <f>K275+I275+G275</f>
        <v>0</v>
      </c>
      <c r="M275" s="277"/>
      <c r="N275" s="192"/>
      <c r="O275" s="192"/>
    </row>
    <row r="276" spans="1:15" s="12" customFormat="1">
      <c r="A276" s="111"/>
      <c r="B276" s="117" t="s">
        <v>49</v>
      </c>
      <c r="C276" s="610" t="s">
        <v>67</v>
      </c>
      <c r="D276" s="611">
        <v>2.9999999999999997E-4</v>
      </c>
      <c r="E276" s="97">
        <f>D276*E274</f>
        <v>3.6209999999999997E-3</v>
      </c>
      <c r="F276" s="96"/>
      <c r="G276" s="151"/>
      <c r="H276" s="97"/>
      <c r="I276" s="132"/>
      <c r="J276" s="97"/>
      <c r="K276" s="123">
        <f>J276*E276</f>
        <v>0</v>
      </c>
      <c r="L276" s="123">
        <f>K276+I276+G276</f>
        <v>0</v>
      </c>
      <c r="M276" s="277"/>
      <c r="N276" s="192"/>
      <c r="O276" s="192"/>
    </row>
    <row r="277" spans="1:15" s="12" customFormat="1" ht="30">
      <c r="A277" s="610"/>
      <c r="B277" s="52" t="s">
        <v>361</v>
      </c>
      <c r="C277" s="610" t="s">
        <v>58</v>
      </c>
      <c r="D277" s="97">
        <f>(25.1+0.2+2.7)*0.01</f>
        <v>0.28000000000000003</v>
      </c>
      <c r="E277" s="97">
        <f>D277*E274</f>
        <v>3.3796000000000004</v>
      </c>
      <c r="F277" s="729"/>
      <c r="G277" s="70">
        <f>F277*E277</f>
        <v>0</v>
      </c>
      <c r="H277" s="121"/>
      <c r="I277" s="70"/>
      <c r="J277" s="121"/>
      <c r="K277" s="70"/>
      <c r="L277" s="70">
        <f>K277+I277+G277</f>
        <v>0</v>
      </c>
      <c r="M277" s="277"/>
      <c r="N277" s="192"/>
      <c r="O277" s="192"/>
    </row>
    <row r="278" spans="1:15" s="359" customFormat="1" ht="21.9" customHeight="1">
      <c r="A278" s="725"/>
      <c r="B278" s="745" t="s">
        <v>69</v>
      </c>
      <c r="C278" s="767" t="s">
        <v>58</v>
      </c>
      <c r="D278" s="768">
        <v>0.15</v>
      </c>
      <c r="E278" s="769">
        <f>D278*E274</f>
        <v>1.8105</v>
      </c>
      <c r="F278" s="729"/>
      <c r="G278" s="729">
        <f>F278*E278</f>
        <v>0</v>
      </c>
      <c r="H278" s="725"/>
      <c r="I278" s="729"/>
      <c r="J278" s="725"/>
      <c r="K278" s="725"/>
      <c r="L278" s="729">
        <f>K278+I278+G278</f>
        <v>0</v>
      </c>
    </row>
    <row r="279" spans="1:15" s="12" customFormat="1">
      <c r="A279" s="111"/>
      <c r="B279" s="152" t="s">
        <v>51</v>
      </c>
      <c r="C279" s="610" t="s">
        <v>2</v>
      </c>
      <c r="D279" s="611">
        <v>1.9E-3</v>
      </c>
      <c r="E279" s="97">
        <f>D279*E274</f>
        <v>2.2933000000000002E-2</v>
      </c>
      <c r="F279" s="97"/>
      <c r="G279" s="123">
        <f>F279*E279</f>
        <v>0</v>
      </c>
      <c r="H279" s="97"/>
      <c r="I279" s="132"/>
      <c r="J279" s="131"/>
      <c r="K279" s="132"/>
      <c r="L279" s="123">
        <f>K279+I279+G279</f>
        <v>0</v>
      </c>
      <c r="M279" s="277"/>
      <c r="N279" s="192"/>
      <c r="O279" s="192"/>
    </row>
    <row r="280" spans="1:15" s="936" customFormat="1" ht="37.5" customHeight="1">
      <c r="A280" s="900">
        <v>55</v>
      </c>
      <c r="B280" s="900" t="s">
        <v>295</v>
      </c>
      <c r="C280" s="311" t="s">
        <v>153</v>
      </c>
      <c r="D280" s="935"/>
      <c r="E280" s="935">
        <v>22.29</v>
      </c>
      <c r="F280" s="901"/>
      <c r="G280" s="901"/>
      <c r="H280" s="902"/>
      <c r="I280" s="900"/>
      <c r="J280" s="901"/>
      <c r="K280" s="901"/>
      <c r="L280" s="902"/>
    </row>
    <row r="281" spans="1:15" s="438" customFormat="1" ht="16.2">
      <c r="A281" s="890"/>
      <c r="B281" s="890" t="s">
        <v>187</v>
      </c>
      <c r="C281" s="890" t="s">
        <v>136</v>
      </c>
      <c r="D281" s="889">
        <v>1</v>
      </c>
      <c r="E281" s="940">
        <f>E280*D281</f>
        <v>22.29</v>
      </c>
      <c r="H281" s="896"/>
      <c r="I281" s="896">
        <f>E281*H281</f>
        <v>0</v>
      </c>
      <c r="J281" s="899"/>
      <c r="K281" s="899"/>
      <c r="L281" s="896">
        <f>I281</f>
        <v>0</v>
      </c>
    </row>
    <row r="282" spans="1:15" s="438" customFormat="1" ht="16.2">
      <c r="A282" s="890"/>
      <c r="B282" s="890" t="s">
        <v>189</v>
      </c>
      <c r="C282" s="890" t="s">
        <v>67</v>
      </c>
      <c r="D282" s="889">
        <v>8.7999999999999995E-2</v>
      </c>
      <c r="E282" s="940">
        <f>E280*D282</f>
        <v>1.9615199999999997</v>
      </c>
      <c r="F282" s="899"/>
      <c r="G282" s="899"/>
      <c r="H282" s="899"/>
      <c r="I282" s="899"/>
      <c r="J282" s="896"/>
      <c r="K282" s="896">
        <f>E282*J282</f>
        <v>0</v>
      </c>
      <c r="L282" s="896">
        <f>K282</f>
        <v>0</v>
      </c>
    </row>
    <row r="283" spans="1:15" s="438" customFormat="1" ht="16.2">
      <c r="A283" s="890"/>
      <c r="B283" s="890" t="s">
        <v>320</v>
      </c>
      <c r="C283" s="890" t="s">
        <v>190</v>
      </c>
      <c r="D283" s="889">
        <v>1.02</v>
      </c>
      <c r="E283" s="940">
        <f>E280*D283</f>
        <v>22.735800000000001</v>
      </c>
      <c r="F283" s="896"/>
      <c r="G283" s="896">
        <f>E283*F283</f>
        <v>0</v>
      </c>
      <c r="J283" s="899"/>
      <c r="K283" s="899"/>
      <c r="L283" s="896">
        <f>G283</f>
        <v>0</v>
      </c>
    </row>
    <row r="284" spans="1:15" s="438" customFormat="1" ht="16.2">
      <c r="A284" s="890"/>
      <c r="B284" s="888" t="s">
        <v>194</v>
      </c>
      <c r="C284" s="890" t="s">
        <v>67</v>
      </c>
      <c r="D284" s="906">
        <v>0.122</v>
      </c>
      <c r="E284" s="940">
        <f>E280*D284</f>
        <v>2.7193799999999997</v>
      </c>
      <c r="F284" s="896"/>
      <c r="G284" s="896">
        <f>E284*F284</f>
        <v>0</v>
      </c>
      <c r="J284" s="899"/>
      <c r="K284" s="899"/>
      <c r="L284" s="896">
        <f>G284</f>
        <v>0</v>
      </c>
    </row>
    <row r="285" spans="1:15" s="936" customFormat="1" ht="37.5" customHeight="1">
      <c r="A285" s="900">
        <v>56</v>
      </c>
      <c r="B285" s="900" t="s">
        <v>296</v>
      </c>
      <c r="C285" s="311" t="s">
        <v>153</v>
      </c>
      <c r="D285" s="935"/>
      <c r="E285" s="935">
        <v>9.84</v>
      </c>
      <c r="F285" s="901"/>
      <c r="G285" s="901"/>
      <c r="H285" s="902"/>
      <c r="I285" s="900"/>
      <c r="J285" s="901"/>
      <c r="K285" s="901"/>
      <c r="L285" s="902"/>
    </row>
    <row r="286" spans="1:15" s="438" customFormat="1" ht="16.2">
      <c r="A286" s="890"/>
      <c r="B286" s="890" t="s">
        <v>187</v>
      </c>
      <c r="C286" s="890" t="s">
        <v>136</v>
      </c>
      <c r="D286" s="889">
        <v>1</v>
      </c>
      <c r="E286" s="889">
        <f>E285*D286</f>
        <v>9.84</v>
      </c>
      <c r="H286" s="896"/>
      <c r="I286" s="896">
        <f>E286*H286</f>
        <v>0</v>
      </c>
      <c r="J286" s="899"/>
      <c r="K286" s="899"/>
      <c r="L286" s="896">
        <f>I286</f>
        <v>0</v>
      </c>
    </row>
    <row r="287" spans="1:15" s="438" customFormat="1" ht="16.2">
      <c r="A287" s="890"/>
      <c r="B287" s="890" t="s">
        <v>189</v>
      </c>
      <c r="C287" s="890" t="s">
        <v>67</v>
      </c>
      <c r="D287" s="889">
        <v>8.7999999999999995E-2</v>
      </c>
      <c r="E287" s="889">
        <f>E285*D287</f>
        <v>0.86591999999999991</v>
      </c>
      <c r="F287" s="899"/>
      <c r="G287" s="899"/>
      <c r="H287" s="899"/>
      <c r="I287" s="899"/>
      <c r="J287" s="896"/>
      <c r="K287" s="896">
        <f>E287*J287</f>
        <v>0</v>
      </c>
      <c r="L287" s="896">
        <f>K287</f>
        <v>0</v>
      </c>
    </row>
    <row r="288" spans="1:15" s="438" customFormat="1" ht="16.2">
      <c r="A288" s="890"/>
      <c r="B288" s="888" t="s">
        <v>320</v>
      </c>
      <c r="C288" s="890" t="s">
        <v>190</v>
      </c>
      <c r="D288" s="889">
        <v>1.02</v>
      </c>
      <c r="E288" s="889">
        <f>E285*D288</f>
        <v>10.036799999999999</v>
      </c>
      <c r="F288" s="896"/>
      <c r="G288" s="896">
        <f>E288*F288</f>
        <v>0</v>
      </c>
      <c r="J288" s="899"/>
      <c r="K288" s="899"/>
      <c r="L288" s="896">
        <f>G288</f>
        <v>0</v>
      </c>
    </row>
    <row r="289" spans="1:15" s="438" customFormat="1" ht="16.2">
      <c r="A289" s="890"/>
      <c r="B289" s="888" t="s">
        <v>194</v>
      </c>
      <c r="C289" s="890" t="s">
        <v>67</v>
      </c>
      <c r="D289" s="906">
        <v>0.122</v>
      </c>
      <c r="E289" s="889">
        <f>E285*D289</f>
        <v>1.20048</v>
      </c>
      <c r="F289" s="896"/>
      <c r="G289" s="896">
        <f>E289*F289</f>
        <v>0</v>
      </c>
      <c r="J289" s="899"/>
      <c r="K289" s="899"/>
      <c r="L289" s="896">
        <f>G289</f>
        <v>0</v>
      </c>
    </row>
    <row r="290" spans="1:15" s="73" customFormat="1" ht="45">
      <c r="A290" s="311">
        <v>57</v>
      </c>
      <c r="B290" s="314" t="s">
        <v>440</v>
      </c>
      <c r="C290" s="311" t="s">
        <v>151</v>
      </c>
      <c r="D290" s="315"/>
      <c r="E290" s="316">
        <v>8</v>
      </c>
      <c r="F290" s="317"/>
      <c r="G290" s="318"/>
      <c r="H290" s="317"/>
      <c r="I290" s="318"/>
      <c r="J290" s="317"/>
      <c r="K290" s="318"/>
      <c r="L290" s="318"/>
      <c r="M290" s="277"/>
      <c r="N290" s="285"/>
      <c r="O290" s="285"/>
    </row>
    <row r="291" spans="1:15" s="71" customFormat="1">
      <c r="A291" s="1081"/>
      <c r="B291" s="117" t="s">
        <v>42</v>
      </c>
      <c r="C291" s="1081" t="s">
        <v>43</v>
      </c>
      <c r="D291" s="119">
        <v>3.14</v>
      </c>
      <c r="E291" s="120">
        <f>D291*E290</f>
        <v>25.12</v>
      </c>
      <c r="F291" s="121"/>
      <c r="G291" s="70"/>
      <c r="H291" s="121"/>
      <c r="I291" s="70">
        <f>H291*E291</f>
        <v>0</v>
      </c>
      <c r="J291" s="121"/>
      <c r="K291" s="70"/>
      <c r="L291" s="70">
        <f t="shared" ref="L291:L298" si="30">K291+I291+G291</f>
        <v>0</v>
      </c>
      <c r="M291" s="277"/>
      <c r="N291" s="200"/>
      <c r="O291" s="200"/>
    </row>
    <row r="292" spans="1:15" s="71" customFormat="1">
      <c r="A292" s="168"/>
      <c r="B292" s="52" t="s">
        <v>49</v>
      </c>
      <c r="C292" s="146" t="s">
        <v>2</v>
      </c>
      <c r="D292" s="119">
        <v>0.106</v>
      </c>
      <c r="E292" s="169">
        <f>D292*E290</f>
        <v>0.84799999999999998</v>
      </c>
      <c r="F292" s="169"/>
      <c r="G292" s="170"/>
      <c r="H292" s="169"/>
      <c r="I292" s="170"/>
      <c r="J292" s="169"/>
      <c r="K292" s="170">
        <f>J292*E292</f>
        <v>0</v>
      </c>
      <c r="L292" s="170">
        <f t="shared" si="30"/>
        <v>0</v>
      </c>
      <c r="M292" s="277"/>
      <c r="N292" s="200"/>
      <c r="O292" s="200"/>
    </row>
    <row r="293" spans="1:15" s="71" customFormat="1" ht="27.6">
      <c r="A293" s="1081"/>
      <c r="B293" s="171" t="s">
        <v>154</v>
      </c>
      <c r="C293" s="118" t="s">
        <v>66</v>
      </c>
      <c r="D293" s="130">
        <v>2.9</v>
      </c>
      <c r="E293" s="1117">
        <f>D293*E290</f>
        <v>23.2</v>
      </c>
      <c r="F293" s="121"/>
      <c r="G293" s="70">
        <f t="shared" ref="G293:G298" si="31">F293*E293</f>
        <v>0</v>
      </c>
      <c r="H293" s="121"/>
      <c r="I293" s="70"/>
      <c r="J293" s="121"/>
      <c r="K293" s="70"/>
      <c r="L293" s="70">
        <f t="shared" si="30"/>
        <v>0</v>
      </c>
      <c r="M293" s="277"/>
      <c r="N293" s="200"/>
      <c r="O293" s="200"/>
    </row>
    <row r="294" spans="1:15" s="71" customFormat="1" ht="41.4">
      <c r="A294" s="168"/>
      <c r="B294" s="171" t="s">
        <v>75</v>
      </c>
      <c r="C294" s="166" t="s">
        <v>66</v>
      </c>
      <c r="D294" s="261"/>
      <c r="E294" s="96">
        <v>5.6</v>
      </c>
      <c r="F294" s="96"/>
      <c r="G294" s="136">
        <f t="shared" si="31"/>
        <v>0</v>
      </c>
      <c r="H294" s="95"/>
      <c r="I294" s="167"/>
      <c r="J294" s="95"/>
      <c r="K294" s="167"/>
      <c r="L294" s="167">
        <f t="shared" si="30"/>
        <v>0</v>
      </c>
      <c r="M294" s="277"/>
      <c r="N294" s="200"/>
      <c r="O294" s="200"/>
    </row>
    <row r="295" spans="1:15" s="71" customFormat="1">
      <c r="A295" s="1081"/>
      <c r="B295" s="117" t="s">
        <v>76</v>
      </c>
      <c r="C295" s="1081" t="s">
        <v>62</v>
      </c>
      <c r="D295" s="130">
        <v>0.7</v>
      </c>
      <c r="E295" s="1117">
        <f>D295*E290</f>
        <v>5.6</v>
      </c>
      <c r="F295" s="121"/>
      <c r="G295" s="70">
        <f t="shared" si="31"/>
        <v>0</v>
      </c>
      <c r="H295" s="121"/>
      <c r="I295" s="70"/>
      <c r="J295" s="121"/>
      <c r="K295" s="70"/>
      <c r="L295" s="70">
        <f t="shared" si="30"/>
        <v>0</v>
      </c>
      <c r="M295" s="277"/>
      <c r="N295" s="200"/>
      <c r="O295" s="200"/>
    </row>
    <row r="296" spans="1:15" s="71" customFormat="1">
      <c r="A296" s="162"/>
      <c r="B296" s="135" t="s">
        <v>77</v>
      </c>
      <c r="C296" s="166" t="s">
        <v>62</v>
      </c>
      <c r="D296" s="261">
        <v>0.7</v>
      </c>
      <c r="E296" s="96">
        <f>D296*E290</f>
        <v>5.6</v>
      </c>
      <c r="F296" s="96"/>
      <c r="G296" s="136">
        <f t="shared" si="31"/>
        <v>0</v>
      </c>
      <c r="H296" s="95"/>
      <c r="I296" s="167"/>
      <c r="J296" s="95"/>
      <c r="K296" s="167"/>
      <c r="L296" s="167">
        <f t="shared" si="30"/>
        <v>0</v>
      </c>
      <c r="M296" s="277"/>
      <c r="N296" s="200"/>
      <c r="O296" s="200"/>
    </row>
    <row r="297" spans="1:15" s="71" customFormat="1">
      <c r="A297" s="1081"/>
      <c r="B297" s="117" t="s">
        <v>78</v>
      </c>
      <c r="C297" s="1081" t="s">
        <v>62</v>
      </c>
      <c r="D297" s="119">
        <v>0.7</v>
      </c>
      <c r="E297" s="120">
        <f>D297*E290</f>
        <v>5.6</v>
      </c>
      <c r="F297" s="96"/>
      <c r="G297" s="70">
        <f t="shared" si="31"/>
        <v>0</v>
      </c>
      <c r="H297" s="121"/>
      <c r="I297" s="70"/>
      <c r="J297" s="121"/>
      <c r="K297" s="70"/>
      <c r="L297" s="70">
        <f t="shared" si="30"/>
        <v>0</v>
      </c>
      <c r="M297" s="277"/>
      <c r="N297" s="200"/>
      <c r="O297" s="200"/>
    </row>
    <row r="298" spans="1:15" s="71" customFormat="1" ht="27.6">
      <c r="A298" s="1081"/>
      <c r="B298" s="135" t="s">
        <v>74</v>
      </c>
      <c r="C298" s="118" t="s">
        <v>66</v>
      </c>
      <c r="D298" s="119">
        <v>1.2</v>
      </c>
      <c r="E298" s="1117">
        <f>D298*E290</f>
        <v>9.6</v>
      </c>
      <c r="F298" s="96"/>
      <c r="G298" s="70">
        <f t="shared" si="31"/>
        <v>0</v>
      </c>
      <c r="H298" s="121"/>
      <c r="I298" s="70"/>
      <c r="J298" s="121"/>
      <c r="K298" s="70"/>
      <c r="L298" s="70">
        <f t="shared" si="30"/>
        <v>0</v>
      </c>
      <c r="M298" s="277"/>
      <c r="N298" s="200"/>
      <c r="O298" s="200"/>
    </row>
    <row r="299" spans="1:15" s="71" customFormat="1" ht="41.4">
      <c r="A299" s="1081"/>
      <c r="B299" s="135" t="s">
        <v>441</v>
      </c>
      <c r="C299" s="1081" t="s">
        <v>142</v>
      </c>
      <c r="D299" s="130">
        <v>1.05</v>
      </c>
      <c r="E299" s="1117">
        <f>D299*E290</f>
        <v>8.4</v>
      </c>
      <c r="F299" s="96"/>
      <c r="G299" s="70">
        <f>F299*E299</f>
        <v>0</v>
      </c>
      <c r="H299" s="121"/>
      <c r="I299" s="70"/>
      <c r="J299" s="121"/>
      <c r="K299" s="70"/>
      <c r="L299" s="70">
        <f>K299+I299+G299</f>
        <v>0</v>
      </c>
      <c r="M299" s="277"/>
      <c r="N299" s="200"/>
      <c r="O299" s="200"/>
    </row>
    <row r="300" spans="1:15" s="71" customFormat="1" ht="27" customHeight="1">
      <c r="A300" s="1081"/>
      <c r="B300" s="135" t="s">
        <v>73</v>
      </c>
      <c r="C300" s="1081" t="s">
        <v>62</v>
      </c>
      <c r="D300" s="119">
        <v>23</v>
      </c>
      <c r="E300" s="120">
        <f>D300*E290</f>
        <v>184</v>
      </c>
      <c r="F300" s="121"/>
      <c r="G300" s="70">
        <f>F300*E300</f>
        <v>0</v>
      </c>
      <c r="H300" s="121"/>
      <c r="I300" s="70"/>
      <c r="J300" s="121"/>
      <c r="K300" s="70"/>
      <c r="L300" s="70">
        <f>K300+I300+G300</f>
        <v>0</v>
      </c>
      <c r="M300" s="277"/>
      <c r="N300" s="200"/>
      <c r="O300" s="200"/>
    </row>
    <row r="301" spans="1:15" s="71" customFormat="1" ht="27.6">
      <c r="A301" s="168"/>
      <c r="B301" s="135" t="s">
        <v>149</v>
      </c>
      <c r="C301" s="166" t="s">
        <v>58</v>
      </c>
      <c r="D301" s="261">
        <v>0.35</v>
      </c>
      <c r="E301" s="95">
        <f>D301*E290</f>
        <v>2.8</v>
      </c>
      <c r="F301" s="96"/>
      <c r="G301" s="167">
        <f>F301*E301</f>
        <v>0</v>
      </c>
      <c r="H301" s="163"/>
      <c r="I301" s="164"/>
      <c r="J301" s="163"/>
      <c r="K301" s="164"/>
      <c r="L301" s="167">
        <f>K301+I301+G301</f>
        <v>0</v>
      </c>
      <c r="M301" s="277"/>
      <c r="N301" s="200"/>
      <c r="O301" s="200"/>
    </row>
    <row r="302" spans="1:15" s="71" customFormat="1">
      <c r="A302" s="111"/>
      <c r="B302" s="117" t="s">
        <v>51</v>
      </c>
      <c r="C302" s="118" t="s">
        <v>2</v>
      </c>
      <c r="D302" s="611">
        <v>6.6500000000000004E-2</v>
      </c>
      <c r="E302" s="97">
        <f>D302*E290</f>
        <v>0.53200000000000003</v>
      </c>
      <c r="F302" s="97"/>
      <c r="G302" s="123">
        <f>E302*F302</f>
        <v>0</v>
      </c>
      <c r="H302" s="131"/>
      <c r="I302" s="132"/>
      <c r="J302" s="131"/>
      <c r="K302" s="132"/>
      <c r="L302" s="70">
        <f t="shared" ref="L302" si="32">K302+I302+G302</f>
        <v>0</v>
      </c>
      <c r="M302" s="277"/>
      <c r="N302" s="200"/>
      <c r="O302" s="200"/>
    </row>
    <row r="303" spans="1:15" s="756" customFormat="1" ht="30">
      <c r="A303" s="740">
        <v>58</v>
      </c>
      <c r="B303" s="741" t="s">
        <v>442</v>
      </c>
      <c r="C303" s="721" t="s">
        <v>151</v>
      </c>
      <c r="D303" s="742"/>
      <c r="E303" s="957">
        <v>8</v>
      </c>
      <c r="F303" s="742"/>
      <c r="G303" s="741"/>
      <c r="H303" s="743"/>
      <c r="I303" s="742"/>
      <c r="J303" s="743"/>
      <c r="K303" s="742"/>
      <c r="L303" s="740"/>
    </row>
    <row r="304" spans="1:15" s="372" customFormat="1" ht="22.05" customHeight="1">
      <c r="A304" s="725"/>
      <c r="B304" s="726" t="s">
        <v>72</v>
      </c>
      <c r="C304" s="1081" t="s">
        <v>155</v>
      </c>
      <c r="D304" s="729">
        <v>1</v>
      </c>
      <c r="E304" s="729">
        <f>E303*D304</f>
        <v>8</v>
      </c>
      <c r="F304" s="725"/>
      <c r="G304" s="725"/>
      <c r="H304" s="121"/>
      <c r="I304" s="729">
        <f>H304*E304</f>
        <v>0</v>
      </c>
      <c r="J304" s="725"/>
      <c r="K304" s="725"/>
      <c r="L304" s="732">
        <f t="shared" ref="L304:L307" si="33">K304+I304+G304</f>
        <v>0</v>
      </c>
    </row>
    <row r="305" spans="1:17" s="372" customFormat="1" ht="13.5" customHeight="1">
      <c r="A305" s="758"/>
      <c r="B305" s="745" t="s">
        <v>262</v>
      </c>
      <c r="C305" s="757" t="s">
        <v>58</v>
      </c>
      <c r="D305" s="725">
        <v>0.63</v>
      </c>
      <c r="E305" s="769">
        <f>D305*E303</f>
        <v>5.04</v>
      </c>
      <c r="F305" s="759"/>
      <c r="G305" s="729">
        <f>F305*E305</f>
        <v>0</v>
      </c>
      <c r="H305" s="746"/>
      <c r="I305" s="745"/>
      <c r="J305" s="746"/>
      <c r="K305" s="745"/>
      <c r="L305" s="729">
        <f t="shared" si="33"/>
        <v>0</v>
      </c>
    </row>
    <row r="306" spans="1:17" s="71" customFormat="1">
      <c r="A306" s="758"/>
      <c r="B306" s="745" t="s">
        <v>91</v>
      </c>
      <c r="C306" s="814" t="s">
        <v>58</v>
      </c>
      <c r="D306" s="815">
        <v>0.92</v>
      </c>
      <c r="E306" s="755">
        <f>D306*E303</f>
        <v>7.36</v>
      </c>
      <c r="F306" s="736"/>
      <c r="G306" s="739">
        <f>E306*F306</f>
        <v>0</v>
      </c>
      <c r="H306" s="131"/>
      <c r="I306" s="132"/>
      <c r="J306" s="131"/>
      <c r="K306" s="132"/>
      <c r="L306" s="70">
        <f t="shared" si="33"/>
        <v>0</v>
      </c>
      <c r="M306" s="277"/>
      <c r="N306" s="200"/>
      <c r="O306" s="200"/>
    </row>
    <row r="307" spans="1:17" s="71" customFormat="1">
      <c r="A307" s="111"/>
      <c r="B307" s="117" t="s">
        <v>51</v>
      </c>
      <c r="C307" s="118" t="s">
        <v>2</v>
      </c>
      <c r="D307" s="611">
        <v>1.7999999999999999E-2</v>
      </c>
      <c r="E307" s="97">
        <f>D307*E295</f>
        <v>0.10079999999999999</v>
      </c>
      <c r="F307" s="97"/>
      <c r="G307" s="123">
        <f>E307*F307</f>
        <v>0</v>
      </c>
      <c r="H307" s="131"/>
      <c r="I307" s="132"/>
      <c r="J307" s="131"/>
      <c r="K307" s="132"/>
      <c r="L307" s="70">
        <f t="shared" si="33"/>
        <v>0</v>
      </c>
      <c r="M307" s="277"/>
      <c r="N307" s="200"/>
      <c r="O307" s="200"/>
    </row>
    <row r="308" spans="1:17" s="401" customFormat="1" ht="27" customHeight="1">
      <c r="A308" s="363">
        <v>59</v>
      </c>
      <c r="B308" s="363" t="s">
        <v>297</v>
      </c>
      <c r="C308" s="363" t="s">
        <v>151</v>
      </c>
      <c r="D308" s="363"/>
      <c r="E308" s="400">
        <v>8</v>
      </c>
      <c r="F308" s="373"/>
      <c r="G308" s="373"/>
      <c r="H308" s="373"/>
      <c r="I308" s="373"/>
      <c r="J308" s="373"/>
      <c r="K308" s="373"/>
      <c r="L308" s="373"/>
    </row>
    <row r="309" spans="1:17" s="402" customFormat="1" ht="17.399999999999999">
      <c r="A309" s="360"/>
      <c r="B309" s="383" t="s">
        <v>42</v>
      </c>
      <c r="C309" s="610" t="s">
        <v>155</v>
      </c>
      <c r="D309" s="384">
        <v>1</v>
      </c>
      <c r="E309" s="1119">
        <f>D309*E308</f>
        <v>8</v>
      </c>
      <c r="F309" s="361"/>
      <c r="G309" s="361"/>
      <c r="H309" s="361"/>
      <c r="I309" s="361">
        <f>H309*E309</f>
        <v>0</v>
      </c>
      <c r="J309" s="361"/>
      <c r="K309" s="361"/>
      <c r="L309" s="361">
        <f>K309+I309+G309</f>
        <v>0</v>
      </c>
    </row>
    <row r="310" spans="1:17" s="402" customFormat="1">
      <c r="A310" s="360"/>
      <c r="B310" s="383" t="s">
        <v>49</v>
      </c>
      <c r="C310" s="384" t="s">
        <v>2</v>
      </c>
      <c r="D310" s="391">
        <f>(0.95+4*0.23)/100</f>
        <v>1.8700000000000001E-2</v>
      </c>
      <c r="E310" s="388">
        <f>D310*E308</f>
        <v>0.14960000000000001</v>
      </c>
      <c r="F310" s="361"/>
      <c r="G310" s="361"/>
      <c r="H310" s="361"/>
      <c r="I310" s="361"/>
      <c r="J310" s="361"/>
      <c r="K310" s="361">
        <f>E310*J310</f>
        <v>0</v>
      </c>
      <c r="L310" s="361">
        <f>K310+I310+G310</f>
        <v>0</v>
      </c>
    </row>
    <row r="311" spans="1:17" s="402" customFormat="1" ht="17.399999999999999">
      <c r="A311" s="360"/>
      <c r="B311" s="404" t="s">
        <v>88</v>
      </c>
      <c r="C311" s="384" t="s">
        <v>143</v>
      </c>
      <c r="D311" s="405">
        <f>(2.04+4*0.51)/100</f>
        <v>4.0800000000000003E-2</v>
      </c>
      <c r="E311" s="361">
        <f>D311*E308</f>
        <v>0.32640000000000002</v>
      </c>
      <c r="F311" s="403"/>
      <c r="G311" s="361">
        <f>F311*E311</f>
        <v>0</v>
      </c>
      <c r="H311" s="361"/>
      <c r="I311" s="361"/>
      <c r="J311" s="361"/>
      <c r="K311" s="361"/>
      <c r="L311" s="361">
        <f>K311+I311+G311</f>
        <v>0</v>
      </c>
    </row>
    <row r="312" spans="1:17" s="402" customFormat="1" ht="15" customHeight="1">
      <c r="A312" s="360"/>
      <c r="B312" s="383" t="s">
        <v>51</v>
      </c>
      <c r="C312" s="384" t="s">
        <v>2</v>
      </c>
      <c r="D312" s="405">
        <v>6.3600000000000004E-2</v>
      </c>
      <c r="E312" s="361">
        <f>D312*E308</f>
        <v>0.50880000000000003</v>
      </c>
      <c r="F312" s="361"/>
      <c r="G312" s="361">
        <f>F312*E312</f>
        <v>0</v>
      </c>
      <c r="H312" s="361"/>
      <c r="I312" s="361"/>
      <c r="J312" s="361"/>
      <c r="K312" s="361"/>
      <c r="L312" s="361">
        <f>K312+I312+G312</f>
        <v>0</v>
      </c>
    </row>
    <row r="313" spans="1:17" s="9" customFormat="1" ht="30">
      <c r="A313" s="311">
        <v>60</v>
      </c>
      <c r="B313" s="302" t="s">
        <v>298</v>
      </c>
      <c r="C313" s="311" t="s">
        <v>151</v>
      </c>
      <c r="D313" s="301"/>
      <c r="E313" s="400">
        <v>8</v>
      </c>
      <c r="F313" s="317"/>
      <c r="G313" s="318"/>
      <c r="H313" s="317"/>
      <c r="I313" s="318"/>
      <c r="J313" s="317"/>
      <c r="K313" s="318"/>
      <c r="L313" s="318"/>
      <c r="M313" s="277"/>
      <c r="N313" s="215"/>
      <c r="O313" s="215"/>
    </row>
    <row r="314" spans="1:17" s="75" customFormat="1" ht="17.399999999999999">
      <c r="A314" s="610"/>
      <c r="B314" s="117" t="s">
        <v>42</v>
      </c>
      <c r="C314" s="610" t="s">
        <v>155</v>
      </c>
      <c r="D314" s="119">
        <v>1</v>
      </c>
      <c r="E314" s="120">
        <f>D314*E313</f>
        <v>8</v>
      </c>
      <c r="F314" s="121"/>
      <c r="G314" s="70"/>
      <c r="H314" s="275"/>
      <c r="I314" s="70">
        <f>H314*E314</f>
        <v>0</v>
      </c>
      <c r="J314" s="121"/>
      <c r="K314" s="70"/>
      <c r="L314" s="70">
        <f t="shared" ref="L314:L319" si="34">K314+I314+G314</f>
        <v>0</v>
      </c>
      <c r="M314" s="277"/>
      <c r="N314" s="287"/>
      <c r="O314" s="287"/>
    </row>
    <row r="315" spans="1:17" s="75" customFormat="1">
      <c r="A315" s="610"/>
      <c r="B315" s="117" t="s">
        <v>49</v>
      </c>
      <c r="C315" s="118" t="s">
        <v>2</v>
      </c>
      <c r="D315" s="130">
        <v>4.5199999999999997E-2</v>
      </c>
      <c r="E315" s="1117">
        <f>D315*E313</f>
        <v>0.36159999999999998</v>
      </c>
      <c r="F315" s="121"/>
      <c r="G315" s="70"/>
      <c r="H315" s="121"/>
      <c r="I315" s="70"/>
      <c r="J315" s="121"/>
      <c r="K315" s="70">
        <f>E315*J315</f>
        <v>0</v>
      </c>
      <c r="L315" s="70">
        <f t="shared" si="34"/>
        <v>0</v>
      </c>
      <c r="M315" s="277"/>
      <c r="N315" s="287"/>
      <c r="O315" s="287"/>
    </row>
    <row r="316" spans="1:17" s="71" customFormat="1" ht="28.2">
      <c r="A316" s="733"/>
      <c r="B316" s="749" t="s">
        <v>430</v>
      </c>
      <c r="C316" s="725" t="s">
        <v>155</v>
      </c>
      <c r="D316" s="774">
        <v>1.02</v>
      </c>
      <c r="E316" s="755">
        <f>D316*E313</f>
        <v>8.16</v>
      </c>
      <c r="F316" s="755"/>
      <c r="G316" s="739">
        <f>F316*E316</f>
        <v>0</v>
      </c>
      <c r="H316" s="755"/>
      <c r="I316" s="737"/>
      <c r="J316" s="738"/>
      <c r="K316" s="737"/>
      <c r="L316" s="739">
        <f t="shared" si="34"/>
        <v>0</v>
      </c>
      <c r="M316" s="200"/>
      <c r="N316" s="284"/>
      <c r="O316" s="277"/>
      <c r="P316" s="200"/>
      <c r="Q316" s="200"/>
    </row>
    <row r="317" spans="1:17" s="20" customFormat="1">
      <c r="A317" s="491"/>
      <c r="B317" s="172" t="s">
        <v>85</v>
      </c>
      <c r="C317" s="160" t="s">
        <v>58</v>
      </c>
      <c r="D317" s="611">
        <v>6.25</v>
      </c>
      <c r="E317" s="97">
        <f>D317*E313</f>
        <v>50</v>
      </c>
      <c r="F317" s="121"/>
      <c r="G317" s="70">
        <f t="shared" ref="G317:G319" si="35">F317*E317</f>
        <v>0</v>
      </c>
      <c r="H317" s="121"/>
      <c r="I317" s="70"/>
      <c r="J317" s="121"/>
      <c r="K317" s="70"/>
      <c r="L317" s="70">
        <f t="shared" si="34"/>
        <v>0</v>
      </c>
      <c r="M317" s="277"/>
      <c r="N317" s="43"/>
      <c r="O317" s="43"/>
    </row>
    <row r="318" spans="1:17" s="20" customFormat="1">
      <c r="A318" s="491"/>
      <c r="B318" s="171" t="s">
        <v>90</v>
      </c>
      <c r="C318" s="160" t="s">
        <v>58</v>
      </c>
      <c r="D318" s="611">
        <v>0.2</v>
      </c>
      <c r="E318" s="97">
        <f>D318*E313</f>
        <v>1.6</v>
      </c>
      <c r="F318" s="121"/>
      <c r="G318" s="70">
        <f t="shared" si="35"/>
        <v>0</v>
      </c>
      <c r="H318" s="121"/>
      <c r="I318" s="70"/>
      <c r="J318" s="121"/>
      <c r="K318" s="70"/>
      <c r="L318" s="70">
        <f t="shared" si="34"/>
        <v>0</v>
      </c>
      <c r="M318" s="277"/>
      <c r="N318" s="43"/>
      <c r="O318" s="43"/>
    </row>
    <row r="319" spans="1:17" s="72" customFormat="1">
      <c r="A319" s="154"/>
      <c r="B319" s="117" t="s">
        <v>51</v>
      </c>
      <c r="C319" s="118" t="s">
        <v>2</v>
      </c>
      <c r="D319" s="158">
        <v>4.6600000000000003E-2</v>
      </c>
      <c r="E319" s="159">
        <f>D319*E313</f>
        <v>0.37280000000000002</v>
      </c>
      <c r="F319" s="155"/>
      <c r="G319" s="123">
        <f t="shared" si="35"/>
        <v>0</v>
      </c>
      <c r="H319" s="159"/>
      <c r="I319" s="156"/>
      <c r="J319" s="157"/>
      <c r="K319" s="156"/>
      <c r="L319" s="123">
        <f t="shared" si="34"/>
        <v>0</v>
      </c>
      <c r="M319" s="277"/>
      <c r="N319" s="284"/>
      <c r="O319" s="284"/>
    </row>
    <row r="320" spans="1:17" s="192" customFormat="1" ht="16.5" customHeight="1">
      <c r="A320" s="300"/>
      <c r="B320" s="302" t="s">
        <v>92</v>
      </c>
      <c r="C320" s="303"/>
      <c r="D320" s="304"/>
      <c r="E320" s="305"/>
      <c r="F320" s="305"/>
      <c r="G320" s="308">
        <f>SUM(G10:G319)</f>
        <v>0</v>
      </c>
      <c r="H320" s="305"/>
      <c r="I320" s="308">
        <f>SUM(I10:I319)</f>
        <v>0</v>
      </c>
      <c r="J320" s="306"/>
      <c r="K320" s="308">
        <f>SUM(K10:K319)</f>
        <v>0</v>
      </c>
      <c r="L320" s="308">
        <f>SUM(L10:L319)</f>
        <v>0</v>
      </c>
      <c r="M320" s="277"/>
    </row>
    <row r="321" spans="1:13" s="192" customFormat="1" ht="16.5" customHeight="1">
      <c r="A321" s="733"/>
      <c r="B321" s="745" t="s">
        <v>336</v>
      </c>
      <c r="C321" s="958">
        <v>0.05</v>
      </c>
      <c r="D321" s="735"/>
      <c r="E321" s="736"/>
      <c r="F321" s="736"/>
      <c r="G321" s="739"/>
      <c r="H321" s="736"/>
      <c r="I321" s="739"/>
      <c r="J321" s="738"/>
      <c r="K321" s="739"/>
      <c r="L321" s="739">
        <f>G320*C321</f>
        <v>0</v>
      </c>
      <c r="M321" s="277"/>
    </row>
    <row r="322" spans="1:13" s="192" customFormat="1" ht="16.5" customHeight="1">
      <c r="A322" s="733"/>
      <c r="B322" s="126" t="s">
        <v>21</v>
      </c>
      <c r="C322" s="725"/>
      <c r="D322" s="735"/>
      <c r="E322" s="736"/>
      <c r="F322" s="736"/>
      <c r="G322" s="739"/>
      <c r="H322" s="736"/>
      <c r="I322" s="739"/>
      <c r="J322" s="738"/>
      <c r="K322" s="739"/>
      <c r="L322" s="959">
        <f>L320+L321</f>
        <v>0</v>
      </c>
      <c r="M322" s="277"/>
    </row>
    <row r="323" spans="1:13" s="290" customFormat="1">
      <c r="A323" s="145"/>
      <c r="B323" s="122" t="s">
        <v>93</v>
      </c>
      <c r="C323" s="128" t="s">
        <v>94</v>
      </c>
      <c r="D323" s="113"/>
      <c r="E323" s="97"/>
      <c r="F323" s="97"/>
      <c r="G323" s="123"/>
      <c r="H323" s="97"/>
      <c r="I323" s="97"/>
      <c r="J323" s="97"/>
      <c r="K323" s="123"/>
      <c r="L323" s="123">
        <f>(L322)*C323</f>
        <v>0</v>
      </c>
      <c r="M323" s="277"/>
    </row>
    <row r="324" spans="1:13" s="291" customFormat="1">
      <c r="A324" s="145"/>
      <c r="B324" s="126" t="s">
        <v>21</v>
      </c>
      <c r="C324" s="153"/>
      <c r="D324" s="129"/>
      <c r="E324" s="133"/>
      <c r="F324" s="133"/>
      <c r="G324" s="134"/>
      <c r="H324" s="133"/>
      <c r="I324" s="133"/>
      <c r="J324" s="133"/>
      <c r="K324" s="134"/>
      <c r="L324" s="134">
        <f>L323+L322</f>
        <v>0</v>
      </c>
      <c r="M324" s="277"/>
    </row>
    <row r="325" spans="1:13" s="290" customFormat="1">
      <c r="A325" s="145"/>
      <c r="B325" s="122" t="s">
        <v>96</v>
      </c>
      <c r="C325" s="128" t="s">
        <v>95</v>
      </c>
      <c r="D325" s="113"/>
      <c r="E325" s="97"/>
      <c r="F325" s="97"/>
      <c r="G325" s="123"/>
      <c r="H325" s="97"/>
      <c r="I325" s="97"/>
      <c r="J325" s="97"/>
      <c r="K325" s="123"/>
      <c r="L325" s="123">
        <f>L324*C325</f>
        <v>0</v>
      </c>
      <c r="M325" s="277"/>
    </row>
    <row r="326" spans="1:13" s="289" customFormat="1">
      <c r="A326" s="145"/>
      <c r="B326" s="53" t="s">
        <v>22</v>
      </c>
      <c r="C326" s="491"/>
      <c r="D326" s="129"/>
      <c r="E326" s="133"/>
      <c r="F326" s="133"/>
      <c r="G326" s="134"/>
      <c r="H326" s="133"/>
      <c r="I326" s="133"/>
      <c r="J326" s="133"/>
      <c r="K326" s="134"/>
      <c r="L326" s="134">
        <f>SUM(L324:L325)</f>
        <v>0</v>
      </c>
      <c r="M326" s="277"/>
    </row>
    <row r="327" spans="1:13">
      <c r="C327" s="178"/>
      <c r="D327" s="179"/>
      <c r="E327" s="180"/>
      <c r="F327" s="181"/>
      <c r="G327" s="66"/>
      <c r="H327" s="181"/>
      <c r="I327" s="181"/>
      <c r="J327" s="181"/>
      <c r="K327" s="181"/>
      <c r="L327" s="180"/>
    </row>
    <row r="328" spans="1:13">
      <c r="B328" s="58"/>
      <c r="C328" s="50"/>
      <c r="D328" s="182"/>
      <c r="E328" s="183"/>
      <c r="F328" s="183"/>
      <c r="G328" s="184"/>
      <c r="H328" s="185"/>
      <c r="I328" s="185"/>
      <c r="J328" s="185"/>
      <c r="K328" s="185"/>
      <c r="L328" s="181"/>
    </row>
    <row r="329" spans="1:13" ht="41.25" customHeight="1">
      <c r="B329" s="58"/>
      <c r="C329" s="58"/>
      <c r="D329" s="186"/>
      <c r="E329" s="183"/>
      <c r="F329" s="183"/>
      <c r="G329" s="59"/>
      <c r="H329" s="187"/>
      <c r="I329" s="187"/>
      <c r="J329" s="187"/>
      <c r="K329" s="187"/>
      <c r="L329" s="180"/>
    </row>
    <row r="330" spans="1:13" ht="20.25" customHeight="1">
      <c r="B330" s="58"/>
      <c r="C330" s="58"/>
      <c r="D330" s="186"/>
      <c r="E330" s="183"/>
      <c r="F330" s="183"/>
      <c r="G330" s="59"/>
      <c r="H330" s="188"/>
      <c r="I330" s="188"/>
      <c r="J330" s="188"/>
      <c r="K330" s="188"/>
      <c r="L330" s="180"/>
    </row>
    <row r="331" spans="1:13">
      <c r="D331" s="179"/>
      <c r="E331" s="180"/>
      <c r="F331" s="180"/>
      <c r="G331" s="189"/>
      <c r="H331" s="180"/>
      <c r="I331" s="180"/>
      <c r="J331" s="180"/>
      <c r="K331" s="180"/>
      <c r="L331" s="180"/>
    </row>
    <row r="332" spans="1:13">
      <c r="D332" s="179"/>
      <c r="E332" s="180"/>
      <c r="F332" s="180"/>
      <c r="G332" s="189"/>
      <c r="H332" s="180"/>
      <c r="I332" s="180"/>
      <c r="J332" s="180"/>
      <c r="K332" s="180"/>
      <c r="L332" s="180"/>
    </row>
    <row r="333" spans="1:13">
      <c r="D333" s="179"/>
      <c r="E333" s="180"/>
      <c r="F333" s="180"/>
      <c r="G333" s="189"/>
      <c r="H333" s="180"/>
      <c r="I333" s="180"/>
      <c r="J333" s="180"/>
      <c r="K333" s="180"/>
      <c r="L333" s="180"/>
    </row>
    <row r="334" spans="1:13">
      <c r="D334" s="179"/>
      <c r="E334" s="180"/>
      <c r="F334" s="180"/>
      <c r="G334" s="189"/>
      <c r="H334" s="180"/>
      <c r="I334" s="180"/>
      <c r="J334" s="180"/>
      <c r="K334" s="180"/>
      <c r="L334" s="180"/>
    </row>
    <row r="335" spans="1:13">
      <c r="D335" s="179"/>
      <c r="E335" s="180"/>
      <c r="F335" s="180"/>
      <c r="G335" s="189"/>
      <c r="H335" s="180"/>
      <c r="I335" s="180"/>
      <c r="J335" s="180"/>
      <c r="K335" s="180"/>
      <c r="L335" s="180"/>
    </row>
    <row r="336" spans="1:13">
      <c r="D336" s="179"/>
      <c r="E336" s="180"/>
      <c r="F336" s="180"/>
      <c r="G336" s="189"/>
      <c r="H336" s="180"/>
      <c r="I336" s="180"/>
      <c r="J336" s="180"/>
      <c r="K336" s="180"/>
      <c r="L336" s="180"/>
    </row>
    <row r="337" spans="1:17">
      <c r="D337" s="179"/>
      <c r="E337" s="180"/>
      <c r="F337" s="180"/>
      <c r="G337" s="189"/>
      <c r="H337" s="180"/>
      <c r="I337" s="180"/>
      <c r="J337" s="180"/>
      <c r="K337" s="180"/>
      <c r="L337" s="180"/>
    </row>
    <row r="338" spans="1:17">
      <c r="D338" s="179"/>
      <c r="E338" s="180"/>
      <c r="F338" s="180"/>
      <c r="G338" s="189"/>
      <c r="H338" s="180"/>
      <c r="I338" s="180"/>
      <c r="J338" s="180"/>
      <c r="K338" s="180"/>
      <c r="L338" s="180"/>
    </row>
    <row r="339" spans="1:17">
      <c r="D339" s="179"/>
      <c r="E339" s="180"/>
      <c r="F339" s="180"/>
      <c r="G339" s="189"/>
      <c r="H339" s="180"/>
      <c r="I339" s="180"/>
      <c r="J339" s="180"/>
      <c r="K339" s="180"/>
      <c r="L339" s="180"/>
    </row>
    <row r="340" spans="1:17">
      <c r="D340" s="179"/>
      <c r="E340" s="180"/>
      <c r="F340" s="180"/>
      <c r="G340" s="189"/>
      <c r="H340" s="180"/>
      <c r="I340" s="180"/>
      <c r="J340" s="180"/>
      <c r="K340" s="180"/>
      <c r="L340" s="180"/>
    </row>
    <row r="341" spans="1:17">
      <c r="D341" s="179"/>
      <c r="E341" s="180"/>
      <c r="F341" s="180"/>
      <c r="G341" s="189"/>
      <c r="H341" s="180"/>
      <c r="I341" s="180"/>
      <c r="J341" s="180"/>
      <c r="K341" s="180"/>
      <c r="L341" s="180"/>
    </row>
    <row r="342" spans="1:17" s="217" customFormat="1">
      <c r="A342" s="62"/>
      <c r="B342" s="19"/>
      <c r="C342" s="51"/>
      <c r="D342" s="179"/>
      <c r="E342" s="180"/>
      <c r="F342" s="180"/>
      <c r="G342" s="189"/>
      <c r="H342" s="180"/>
      <c r="I342" s="180"/>
      <c r="J342" s="180"/>
      <c r="K342" s="180"/>
      <c r="L342" s="180"/>
      <c r="M342" s="251"/>
      <c r="N342" s="251"/>
      <c r="O342" s="251"/>
      <c r="P342" s="251"/>
      <c r="Q342" s="251"/>
    </row>
    <row r="343" spans="1:17" s="217" customFormat="1">
      <c r="A343" s="62"/>
      <c r="B343" s="19"/>
      <c r="C343" s="51"/>
      <c r="D343" s="179"/>
      <c r="E343" s="180"/>
      <c r="F343" s="180"/>
      <c r="G343" s="189"/>
      <c r="H343" s="180"/>
      <c r="I343" s="180"/>
      <c r="J343" s="180"/>
      <c r="K343" s="180"/>
      <c r="L343" s="180"/>
      <c r="M343" s="251"/>
      <c r="N343" s="251"/>
      <c r="O343" s="251"/>
      <c r="P343" s="251"/>
      <c r="Q343" s="251"/>
    </row>
    <row r="344" spans="1:17" s="217" customFormat="1">
      <c r="A344" s="62"/>
      <c r="B344" s="19"/>
      <c r="C344" s="51"/>
      <c r="D344" s="179"/>
      <c r="E344" s="180"/>
      <c r="F344" s="180"/>
      <c r="G344" s="189"/>
      <c r="H344" s="180"/>
      <c r="I344" s="180"/>
      <c r="J344" s="180"/>
      <c r="K344" s="180"/>
      <c r="L344" s="180"/>
      <c r="M344" s="251"/>
      <c r="N344" s="251"/>
      <c r="O344" s="251"/>
      <c r="P344" s="251"/>
      <c r="Q344" s="251"/>
    </row>
    <row r="345" spans="1:17" s="217" customFormat="1">
      <c r="A345" s="62"/>
      <c r="B345" s="19"/>
      <c r="C345" s="51"/>
      <c r="D345" s="179"/>
      <c r="E345" s="180"/>
      <c r="F345" s="180"/>
      <c r="G345" s="189"/>
      <c r="H345" s="180"/>
      <c r="I345" s="180"/>
      <c r="J345" s="180"/>
      <c r="K345" s="180"/>
      <c r="L345" s="180"/>
      <c r="M345" s="251"/>
      <c r="N345" s="251"/>
      <c r="O345" s="251"/>
      <c r="P345" s="251"/>
      <c r="Q345" s="251"/>
    </row>
    <row r="346" spans="1:17" s="217" customFormat="1">
      <c r="A346" s="62"/>
      <c r="B346" s="19"/>
      <c r="C346" s="51"/>
      <c r="D346" s="179"/>
      <c r="E346" s="180"/>
      <c r="F346" s="180"/>
      <c r="G346" s="189"/>
      <c r="H346" s="180"/>
      <c r="I346" s="180"/>
      <c r="J346" s="180"/>
      <c r="K346" s="180"/>
      <c r="L346" s="180"/>
      <c r="M346" s="251"/>
      <c r="N346" s="251"/>
      <c r="O346" s="251"/>
      <c r="P346" s="251"/>
      <c r="Q346" s="251"/>
    </row>
    <row r="347" spans="1:17" s="217" customFormat="1">
      <c r="A347" s="62"/>
      <c r="B347" s="19"/>
      <c r="C347" s="51"/>
      <c r="D347" s="179"/>
      <c r="E347" s="180"/>
      <c r="F347" s="180"/>
      <c r="G347" s="189"/>
      <c r="H347" s="180"/>
      <c r="I347" s="180"/>
      <c r="J347" s="180"/>
      <c r="K347" s="180"/>
      <c r="L347" s="180"/>
      <c r="M347" s="251"/>
      <c r="N347" s="251"/>
      <c r="O347" s="251"/>
      <c r="P347" s="251"/>
      <c r="Q347" s="251"/>
    </row>
    <row r="348" spans="1:17" s="217" customFormat="1">
      <c r="A348" s="62"/>
      <c r="B348" s="19"/>
      <c r="C348" s="51"/>
      <c r="D348" s="179"/>
      <c r="E348" s="180"/>
      <c r="F348" s="180"/>
      <c r="G348" s="189"/>
      <c r="H348" s="180"/>
      <c r="I348" s="180"/>
      <c r="J348" s="180"/>
      <c r="K348" s="180"/>
      <c r="L348" s="180"/>
      <c r="M348" s="251"/>
      <c r="N348" s="251"/>
      <c r="O348" s="251"/>
      <c r="P348" s="251"/>
      <c r="Q348" s="251"/>
    </row>
    <row r="349" spans="1:17" s="217" customFormat="1">
      <c r="A349" s="62"/>
      <c r="B349" s="19"/>
      <c r="C349" s="51"/>
      <c r="D349" s="179"/>
      <c r="E349" s="180"/>
      <c r="F349" s="180"/>
      <c r="G349" s="189"/>
      <c r="H349" s="180"/>
      <c r="I349" s="180"/>
      <c r="J349" s="180"/>
      <c r="K349" s="180"/>
      <c r="L349" s="180"/>
      <c r="M349" s="251"/>
      <c r="N349" s="251"/>
      <c r="O349" s="251"/>
      <c r="P349" s="251"/>
      <c r="Q349" s="251"/>
    </row>
    <row r="350" spans="1:17" s="217" customFormat="1">
      <c r="A350" s="62"/>
      <c r="B350" s="19"/>
      <c r="C350" s="51"/>
      <c r="D350" s="179"/>
      <c r="E350" s="180"/>
      <c r="F350" s="180"/>
      <c r="G350" s="189"/>
      <c r="H350" s="180"/>
      <c r="I350" s="180"/>
      <c r="J350" s="180"/>
      <c r="K350" s="180"/>
      <c r="L350" s="180"/>
      <c r="M350" s="251"/>
      <c r="N350" s="251"/>
      <c r="O350" s="251"/>
      <c r="P350" s="251"/>
      <c r="Q350" s="251"/>
    </row>
    <row r="351" spans="1:17" s="217" customFormat="1">
      <c r="A351" s="62"/>
      <c r="B351" s="19"/>
      <c r="C351" s="51"/>
      <c r="D351" s="179"/>
      <c r="E351" s="180"/>
      <c r="F351" s="180"/>
      <c r="G351" s="189"/>
      <c r="H351" s="180"/>
      <c r="I351" s="180"/>
      <c r="J351" s="180"/>
      <c r="K351" s="180"/>
      <c r="L351" s="180"/>
      <c r="M351" s="251"/>
      <c r="N351" s="251"/>
      <c r="O351" s="251"/>
      <c r="P351" s="251"/>
      <c r="Q351" s="251"/>
    </row>
    <row r="352" spans="1:17" s="217" customFormat="1">
      <c r="A352" s="62"/>
      <c r="B352" s="19"/>
      <c r="C352" s="51"/>
      <c r="D352" s="179"/>
      <c r="E352" s="180"/>
      <c r="F352" s="180"/>
      <c r="G352" s="189"/>
      <c r="H352" s="180"/>
      <c r="I352" s="180"/>
      <c r="J352" s="180"/>
      <c r="K352" s="180"/>
      <c r="L352" s="180"/>
      <c r="M352" s="251"/>
      <c r="N352" s="251"/>
      <c r="O352" s="251"/>
      <c r="P352" s="251"/>
      <c r="Q352" s="251"/>
    </row>
    <row r="353" spans="1:17" s="217" customFormat="1">
      <c r="A353" s="62"/>
      <c r="B353" s="19"/>
      <c r="C353" s="51"/>
      <c r="D353" s="190"/>
      <c r="E353" s="189"/>
      <c r="F353" s="189"/>
      <c r="G353" s="189"/>
      <c r="H353" s="189"/>
      <c r="I353" s="189"/>
      <c r="J353" s="189"/>
      <c r="K353" s="189"/>
      <c r="L353" s="189"/>
      <c r="M353" s="251"/>
      <c r="N353" s="251"/>
      <c r="O353" s="251"/>
      <c r="P353" s="251"/>
      <c r="Q353" s="251"/>
    </row>
    <row r="354" spans="1:17" s="217" customFormat="1">
      <c r="A354" s="62"/>
      <c r="B354" s="19"/>
      <c r="C354" s="51"/>
      <c r="D354" s="190"/>
      <c r="E354" s="189"/>
      <c r="F354" s="189"/>
      <c r="G354" s="189"/>
      <c r="H354" s="189"/>
      <c r="I354" s="189"/>
      <c r="J354" s="189"/>
      <c r="K354" s="189"/>
      <c r="L354" s="189"/>
      <c r="M354" s="251"/>
      <c r="N354" s="251"/>
      <c r="O354" s="251"/>
      <c r="P354" s="251"/>
      <c r="Q354" s="251"/>
    </row>
    <row r="355" spans="1:17" s="217" customFormat="1">
      <c r="A355" s="62"/>
      <c r="B355" s="19"/>
      <c r="C355" s="51"/>
      <c r="D355" s="190"/>
      <c r="E355" s="189"/>
      <c r="F355" s="189"/>
      <c r="G355" s="189"/>
      <c r="H355" s="189"/>
      <c r="I355" s="189"/>
      <c r="J355" s="189"/>
      <c r="K355" s="189"/>
      <c r="L355" s="189"/>
      <c r="M355" s="251"/>
      <c r="N355" s="251"/>
      <c r="O355" s="251"/>
      <c r="P355" s="251"/>
      <c r="Q355" s="251"/>
    </row>
    <row r="356" spans="1:17" s="217" customFormat="1">
      <c r="A356" s="62"/>
      <c r="B356" s="19"/>
      <c r="C356" s="51"/>
      <c r="D356" s="190"/>
      <c r="E356" s="190"/>
      <c r="F356" s="190"/>
      <c r="G356" s="190"/>
      <c r="H356" s="190"/>
      <c r="I356" s="190"/>
      <c r="J356" s="190"/>
      <c r="K356" s="190"/>
      <c r="L356" s="190"/>
      <c r="M356" s="251"/>
      <c r="N356" s="251"/>
      <c r="O356" s="251"/>
      <c r="P356" s="251"/>
      <c r="Q356" s="251"/>
    </row>
  </sheetData>
  <autoFilter ref="A6:L355"/>
  <mergeCells count="10">
    <mergeCell ref="A4:A5"/>
    <mergeCell ref="B4:B5"/>
    <mergeCell ref="C4:C5"/>
    <mergeCell ref="D4:E4"/>
    <mergeCell ref="L4:L5"/>
    <mergeCell ref="B1:J1"/>
    <mergeCell ref="B2:I2"/>
    <mergeCell ref="F4:G4"/>
    <mergeCell ref="H4:I4"/>
    <mergeCell ref="J4:K4"/>
  </mergeCells>
  <printOptions horizontalCentered="1"/>
  <pageMargins left="0.118110236220472" right="0.118110236220472" top="0.31299212599999998" bottom="0.24803149599999999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54273" r:id="rId4" name="Control 1">
          <controlPr defaultSize="0" r:id="rId5">
            <anchor moveWithCells="1">
              <from>
                <xdr:col>12</xdr:col>
                <xdr:colOff>121920</xdr:colOff>
                <xdr:row>252</xdr:row>
                <xdr:rowOff>30480</xdr:rowOff>
              </from>
              <to>
                <xdr:col>12</xdr:col>
                <xdr:colOff>350520</xdr:colOff>
                <xdr:row>253</xdr:row>
                <xdr:rowOff>76200</xdr:rowOff>
              </to>
            </anchor>
          </controlPr>
        </control>
      </mc:Choice>
      <mc:Fallback>
        <control shapeId="54273" r:id="rId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52"/>
  <sheetViews>
    <sheetView topLeftCell="A65" zoomScaleNormal="100" zoomScaleSheetLayoutView="100" workbookViewId="0">
      <selection activeCell="K11" sqref="K11:K64"/>
    </sheetView>
  </sheetViews>
  <sheetFormatPr defaultColWidth="9.109375" defaultRowHeight="15"/>
  <cols>
    <col min="1" max="1" width="3.88671875" style="41" customWidth="1"/>
    <col min="2" max="2" width="34.6640625" style="43" customWidth="1"/>
    <col min="3" max="3" width="9.6640625" style="19" customWidth="1"/>
    <col min="4" max="4" width="7.33203125" style="44" customWidth="1"/>
    <col min="5" max="5" width="9" style="44" customWidth="1"/>
    <col min="6" max="6" width="8.6640625" style="44" customWidth="1"/>
    <col min="7" max="7" width="9.5546875" style="44" customWidth="1"/>
    <col min="8" max="8" width="8" style="267" customWidth="1"/>
    <col min="9" max="9" width="9" style="44" customWidth="1"/>
    <col min="10" max="10" width="8.109375" style="45" customWidth="1"/>
    <col min="11" max="11" width="8.33203125" style="44" customWidth="1"/>
    <col min="12" max="12" width="10" style="44" customWidth="1"/>
    <col min="13" max="14" width="9.109375" style="359"/>
    <col min="15" max="16384" width="9.109375" style="1"/>
  </cols>
  <sheetData>
    <row r="1" spans="1:14">
      <c r="A1" s="61"/>
      <c r="B1" s="62"/>
      <c r="C1" s="62"/>
      <c r="D1" s="62"/>
      <c r="E1" s="62"/>
      <c r="F1" s="62"/>
      <c r="G1" s="62"/>
      <c r="H1" s="263"/>
      <c r="I1" s="62"/>
      <c r="J1" s="66"/>
      <c r="K1" s="62"/>
      <c r="L1" s="62"/>
    </row>
    <row r="2" spans="1:14" ht="17.399999999999999">
      <c r="A2" s="1177" t="s">
        <v>234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</row>
    <row r="3" spans="1:14" ht="19.8">
      <c r="A3" s="63"/>
      <c r="B3" s="64"/>
      <c r="C3" s="65"/>
      <c r="D3" s="65"/>
      <c r="E3" s="65"/>
      <c r="F3" s="65"/>
      <c r="G3" s="65"/>
      <c r="H3" s="264"/>
      <c r="I3" s="65"/>
      <c r="J3" s="67"/>
      <c r="K3" s="65"/>
      <c r="L3" s="65"/>
    </row>
    <row r="4" spans="1:14" ht="17.399999999999999" customHeight="1">
      <c r="A4" s="1177" t="s">
        <v>241</v>
      </c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</row>
    <row r="5" spans="1:14" ht="19.8">
      <c r="A5" s="63"/>
      <c r="B5" s="64"/>
      <c r="C5" s="65"/>
      <c r="D5" s="65"/>
      <c r="E5" s="65"/>
      <c r="F5" s="65"/>
      <c r="G5" s="65"/>
      <c r="H5" s="264"/>
      <c r="I5" s="65"/>
      <c r="J5" s="67"/>
      <c r="K5" s="65"/>
      <c r="L5" s="65"/>
    </row>
    <row r="6" spans="1:14" ht="33" customHeight="1">
      <c r="A6" s="1170" t="s">
        <v>13</v>
      </c>
      <c r="B6" s="1170" t="s">
        <v>27</v>
      </c>
      <c r="C6" s="1170" t="s">
        <v>32</v>
      </c>
      <c r="D6" s="1178" t="s">
        <v>33</v>
      </c>
      <c r="E6" s="1179"/>
      <c r="F6" s="1170" t="s">
        <v>34</v>
      </c>
      <c r="G6" s="1170"/>
      <c r="H6" s="1170" t="s">
        <v>35</v>
      </c>
      <c r="I6" s="1170"/>
      <c r="J6" s="1170" t="s">
        <v>36</v>
      </c>
      <c r="K6" s="1170"/>
      <c r="L6" s="1175" t="s">
        <v>37</v>
      </c>
    </row>
    <row r="7" spans="1:14" ht="36" customHeight="1">
      <c r="A7" s="1170"/>
      <c r="B7" s="1170"/>
      <c r="C7" s="1170"/>
      <c r="D7" s="70" t="s">
        <v>38</v>
      </c>
      <c r="E7" s="502" t="s">
        <v>22</v>
      </c>
      <c r="F7" s="70" t="s">
        <v>39</v>
      </c>
      <c r="G7" s="502" t="s">
        <v>40</v>
      </c>
      <c r="H7" s="501" t="s">
        <v>39</v>
      </c>
      <c r="I7" s="502" t="s">
        <v>40</v>
      </c>
      <c r="J7" s="70" t="s">
        <v>39</v>
      </c>
      <c r="K7" s="502" t="s">
        <v>40</v>
      </c>
      <c r="L7" s="1176"/>
    </row>
    <row r="8" spans="1:14" s="248" customFormat="1" ht="21" customHeight="1">
      <c r="A8" s="110">
        <v>1</v>
      </c>
      <c r="B8" s="110">
        <v>2</v>
      </c>
      <c r="C8" s="111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97">
        <v>10</v>
      </c>
      <c r="K8" s="112">
        <v>11</v>
      </c>
      <c r="L8" s="112">
        <v>12</v>
      </c>
      <c r="N8" s="295"/>
    </row>
    <row r="9" spans="1:14" ht="33" customHeight="1">
      <c r="A9" s="321">
        <v>1</v>
      </c>
      <c r="B9" s="322" t="s">
        <v>110</v>
      </c>
      <c r="C9" s="323" t="s">
        <v>66</v>
      </c>
      <c r="D9" s="321"/>
      <c r="E9" s="324">
        <v>28</v>
      </c>
      <c r="F9" s="321"/>
      <c r="G9" s="325"/>
      <c r="H9" s="326"/>
      <c r="I9" s="321"/>
      <c r="J9" s="321"/>
      <c r="K9" s="321"/>
      <c r="L9" s="311"/>
    </row>
    <row r="10" spans="1:14" s="359" customFormat="1">
      <c r="A10" s="502"/>
      <c r="B10" s="232" t="s">
        <v>42</v>
      </c>
      <c r="C10" s="146" t="s">
        <v>43</v>
      </c>
      <c r="D10" s="146">
        <v>1.43</v>
      </c>
      <c r="E10" s="146">
        <f>D10*E9</f>
        <v>40.04</v>
      </c>
      <c r="F10" s="502"/>
      <c r="G10" s="502"/>
      <c r="H10" s="501"/>
      <c r="I10" s="70">
        <f>E10*H10</f>
        <v>0</v>
      </c>
      <c r="J10" s="502"/>
      <c r="K10" s="70"/>
      <c r="L10" s="70">
        <f t="shared" ref="L10:L17" si="0">K10+I10+G10</f>
        <v>0</v>
      </c>
    </row>
    <row r="11" spans="1:14" s="359" customFormat="1">
      <c r="A11" s="502"/>
      <c r="B11" s="232" t="s">
        <v>49</v>
      </c>
      <c r="C11" s="146" t="s">
        <v>2</v>
      </c>
      <c r="D11" s="233">
        <v>2.5700000000000001E-2</v>
      </c>
      <c r="E11" s="234">
        <f>D11*E9</f>
        <v>0.71960000000000002</v>
      </c>
      <c r="F11" s="502"/>
      <c r="G11" s="502"/>
      <c r="H11" s="501"/>
      <c r="I11" s="502"/>
      <c r="J11" s="502"/>
      <c r="K11" s="70">
        <f>J11*E11</f>
        <v>0</v>
      </c>
      <c r="L11" s="70">
        <f t="shared" si="0"/>
        <v>0</v>
      </c>
    </row>
    <row r="12" spans="1:14" s="359" customFormat="1">
      <c r="A12" s="233"/>
      <c r="B12" s="229" t="s">
        <v>111</v>
      </c>
      <c r="C12" s="146" t="s">
        <v>66</v>
      </c>
      <c r="D12" s="203">
        <v>0.92900000000000005</v>
      </c>
      <c r="E12" s="234">
        <f>D12*E9</f>
        <v>26.012</v>
      </c>
      <c r="F12" s="234"/>
      <c r="G12" s="231">
        <f t="shared" ref="G12:G17" si="1">F12*E12</f>
        <v>0</v>
      </c>
      <c r="H12" s="265"/>
      <c r="I12" s="233"/>
      <c r="J12" s="233"/>
      <c r="K12" s="233"/>
      <c r="L12" s="70">
        <f t="shared" si="0"/>
        <v>0</v>
      </c>
    </row>
    <row r="13" spans="1:14" s="359" customFormat="1" ht="15" customHeight="1">
      <c r="A13" s="233"/>
      <c r="B13" s="94" t="s">
        <v>112</v>
      </c>
      <c r="C13" s="146" t="s">
        <v>62</v>
      </c>
      <c r="D13" s="203"/>
      <c r="E13" s="234">
        <v>9</v>
      </c>
      <c r="F13" s="234"/>
      <c r="G13" s="231">
        <f t="shared" si="1"/>
        <v>0</v>
      </c>
      <c r="H13" s="265"/>
      <c r="I13" s="233"/>
      <c r="J13" s="233"/>
      <c r="K13" s="233"/>
      <c r="L13" s="70">
        <f t="shared" si="0"/>
        <v>0</v>
      </c>
    </row>
    <row r="14" spans="1:14" s="359" customFormat="1">
      <c r="A14" s="233"/>
      <c r="B14" s="236" t="s">
        <v>113</v>
      </c>
      <c r="C14" s="146" t="s">
        <v>62</v>
      </c>
      <c r="D14" s="233"/>
      <c r="E14" s="234">
        <v>24</v>
      </c>
      <c r="F14" s="234"/>
      <c r="G14" s="231">
        <f t="shared" si="1"/>
        <v>0</v>
      </c>
      <c r="H14" s="265"/>
      <c r="I14" s="233"/>
      <c r="J14" s="233"/>
      <c r="K14" s="233"/>
      <c r="L14" s="70">
        <f t="shared" si="0"/>
        <v>0</v>
      </c>
    </row>
    <row r="15" spans="1:14" s="359" customFormat="1" ht="16.2">
      <c r="A15" s="195"/>
      <c r="B15" s="236" t="s">
        <v>114</v>
      </c>
      <c r="C15" s="148" t="s">
        <v>62</v>
      </c>
      <c r="D15" s="226"/>
      <c r="E15" s="227">
        <v>4</v>
      </c>
      <c r="F15" s="123"/>
      <c r="G15" s="231">
        <f t="shared" si="1"/>
        <v>0</v>
      </c>
      <c r="H15" s="265"/>
      <c r="I15" s="233"/>
      <c r="J15" s="233"/>
      <c r="K15" s="233"/>
      <c r="L15" s="70">
        <f t="shared" si="0"/>
        <v>0</v>
      </c>
    </row>
    <row r="16" spans="1:14" s="359" customFormat="1" ht="16.2">
      <c r="A16" s="195"/>
      <c r="B16" s="94" t="s">
        <v>144</v>
      </c>
      <c r="C16" s="148" t="s">
        <v>62</v>
      </c>
      <c r="D16" s="226"/>
      <c r="E16" s="227">
        <v>12</v>
      </c>
      <c r="F16" s="123"/>
      <c r="G16" s="231">
        <f t="shared" si="1"/>
        <v>0</v>
      </c>
      <c r="H16" s="265"/>
      <c r="I16" s="233"/>
      <c r="J16" s="233"/>
      <c r="K16" s="233"/>
      <c r="L16" s="70">
        <f t="shared" si="0"/>
        <v>0</v>
      </c>
    </row>
    <row r="17" spans="1:12">
      <c r="A17" s="491"/>
      <c r="B17" s="149" t="s">
        <v>51</v>
      </c>
      <c r="C17" s="146" t="s">
        <v>2</v>
      </c>
      <c r="D17" s="233">
        <v>4.5699999999999998E-2</v>
      </c>
      <c r="E17" s="234">
        <f>D17*E9</f>
        <v>1.2795999999999998</v>
      </c>
      <c r="F17" s="230"/>
      <c r="G17" s="231">
        <f t="shared" si="1"/>
        <v>0</v>
      </c>
      <c r="H17" s="255"/>
      <c r="I17" s="491"/>
      <c r="J17" s="491"/>
      <c r="K17" s="491"/>
      <c r="L17" s="70">
        <f t="shared" si="0"/>
        <v>0</v>
      </c>
    </row>
    <row r="18" spans="1:12" ht="30" customHeight="1">
      <c r="A18" s="327">
        <v>2</v>
      </c>
      <c r="B18" s="328" t="s">
        <v>115</v>
      </c>
      <c r="C18" s="329" t="s">
        <v>66</v>
      </c>
      <c r="D18" s="330"/>
      <c r="E18" s="331">
        <v>14</v>
      </c>
      <c r="F18" s="331"/>
      <c r="G18" s="332"/>
      <c r="H18" s="333"/>
      <c r="I18" s="332"/>
      <c r="J18" s="331"/>
      <c r="K18" s="332"/>
      <c r="L18" s="332"/>
    </row>
    <row r="19" spans="1:12" s="359" customFormat="1" ht="16.2">
      <c r="A19" s="196"/>
      <c r="B19" s="147" t="s">
        <v>42</v>
      </c>
      <c r="C19" s="148" t="s">
        <v>43</v>
      </c>
      <c r="D19" s="226">
        <v>1.17</v>
      </c>
      <c r="E19" s="197">
        <f>D19*E18</f>
        <v>16.38</v>
      </c>
      <c r="F19" s="197"/>
      <c r="G19" s="198"/>
      <c r="H19" s="254"/>
      <c r="I19" s="197">
        <f>H19*E19</f>
        <v>0</v>
      </c>
      <c r="J19" s="197"/>
      <c r="K19" s="198"/>
      <c r="L19" s="198">
        <f t="shared" ref="L19:L27" si="2">K19+I19+G19</f>
        <v>0</v>
      </c>
    </row>
    <row r="20" spans="1:12" s="359" customFormat="1">
      <c r="A20" s="502"/>
      <c r="B20" s="232" t="s">
        <v>49</v>
      </c>
      <c r="C20" s="146" t="s">
        <v>2</v>
      </c>
      <c r="D20" s="233">
        <v>1.72E-2</v>
      </c>
      <c r="E20" s="234">
        <f>D20*E18</f>
        <v>0.24080000000000001</v>
      </c>
      <c r="F20" s="502"/>
      <c r="G20" s="502"/>
      <c r="H20" s="501"/>
      <c r="I20" s="502"/>
      <c r="J20" s="502"/>
      <c r="K20" s="70">
        <f>J20*E20</f>
        <v>0</v>
      </c>
      <c r="L20" s="70">
        <f t="shared" si="2"/>
        <v>0</v>
      </c>
    </row>
    <row r="21" spans="1:12" s="359" customFormat="1">
      <c r="A21" s="233"/>
      <c r="B21" s="229" t="s">
        <v>116</v>
      </c>
      <c r="C21" s="146" t="s">
        <v>66</v>
      </c>
      <c r="D21" s="203">
        <v>0.93799999999999994</v>
      </c>
      <c r="E21" s="234">
        <f>D21*E18</f>
        <v>13.132</v>
      </c>
      <c r="F21" s="234"/>
      <c r="G21" s="231">
        <f t="shared" ref="G21:G27" si="3">F21*E21</f>
        <v>0</v>
      </c>
      <c r="H21" s="265"/>
      <c r="I21" s="233"/>
      <c r="J21" s="233"/>
      <c r="K21" s="233"/>
      <c r="L21" s="70">
        <f t="shared" si="2"/>
        <v>0</v>
      </c>
    </row>
    <row r="22" spans="1:12" s="359" customFormat="1" ht="15" customHeight="1">
      <c r="A22" s="233"/>
      <c r="B22" s="235" t="s">
        <v>117</v>
      </c>
      <c r="C22" s="146" t="s">
        <v>62</v>
      </c>
      <c r="D22" s="203"/>
      <c r="E22" s="234">
        <v>5</v>
      </c>
      <c r="F22" s="234"/>
      <c r="G22" s="231">
        <f t="shared" si="3"/>
        <v>0</v>
      </c>
      <c r="H22" s="265"/>
      <c r="I22" s="233"/>
      <c r="J22" s="233"/>
      <c r="K22" s="233"/>
      <c r="L22" s="70">
        <f t="shared" si="2"/>
        <v>0</v>
      </c>
    </row>
    <row r="23" spans="1:12" s="359" customFormat="1">
      <c r="A23" s="233"/>
      <c r="B23" s="236" t="s">
        <v>118</v>
      </c>
      <c r="C23" s="146" t="s">
        <v>62</v>
      </c>
      <c r="D23" s="233"/>
      <c r="E23" s="234">
        <v>5</v>
      </c>
      <c r="F23" s="234"/>
      <c r="G23" s="231">
        <f t="shared" si="3"/>
        <v>0</v>
      </c>
      <c r="H23" s="265"/>
      <c r="I23" s="233"/>
      <c r="J23" s="233"/>
      <c r="K23" s="233"/>
      <c r="L23" s="70">
        <f t="shared" si="2"/>
        <v>0</v>
      </c>
    </row>
    <row r="24" spans="1:12" s="359" customFormat="1" ht="16.2">
      <c r="A24" s="195"/>
      <c r="B24" s="236" t="s">
        <v>235</v>
      </c>
      <c r="C24" s="148" t="s">
        <v>62</v>
      </c>
      <c r="D24" s="237"/>
      <c r="E24" s="227">
        <v>6</v>
      </c>
      <c r="F24" s="123"/>
      <c r="G24" s="231">
        <f t="shared" si="3"/>
        <v>0</v>
      </c>
      <c r="H24" s="265"/>
      <c r="I24" s="233"/>
      <c r="J24" s="233"/>
      <c r="K24" s="233"/>
      <c r="L24" s="70">
        <f t="shared" si="2"/>
        <v>0</v>
      </c>
    </row>
    <row r="25" spans="1:12" s="359" customFormat="1" ht="16.2">
      <c r="A25" s="195"/>
      <c r="B25" s="236" t="s">
        <v>119</v>
      </c>
      <c r="C25" s="148" t="s">
        <v>62</v>
      </c>
      <c r="D25" s="226"/>
      <c r="E25" s="227">
        <v>4</v>
      </c>
      <c r="F25" s="227"/>
      <c r="G25" s="198">
        <f t="shared" si="3"/>
        <v>0</v>
      </c>
      <c r="H25" s="254"/>
      <c r="I25" s="198"/>
      <c r="J25" s="197"/>
      <c r="K25" s="198"/>
      <c r="L25" s="70">
        <f t="shared" si="2"/>
        <v>0</v>
      </c>
    </row>
    <row r="26" spans="1:12" s="359" customFormat="1" ht="16.2">
      <c r="A26" s="195"/>
      <c r="B26" s="94" t="s">
        <v>145</v>
      </c>
      <c r="C26" s="148" t="s">
        <v>62</v>
      </c>
      <c r="D26" s="226"/>
      <c r="E26" s="227">
        <v>7</v>
      </c>
      <c r="F26" s="123"/>
      <c r="G26" s="231">
        <f t="shared" si="3"/>
        <v>0</v>
      </c>
      <c r="H26" s="265"/>
      <c r="I26" s="233"/>
      <c r="J26" s="233"/>
      <c r="K26" s="233"/>
      <c r="L26" s="70">
        <f t="shared" si="2"/>
        <v>0</v>
      </c>
    </row>
    <row r="27" spans="1:12" ht="16.2">
      <c r="A27" s="195"/>
      <c r="B27" s="147" t="s">
        <v>51</v>
      </c>
      <c r="C27" s="148" t="s">
        <v>2</v>
      </c>
      <c r="D27" s="226">
        <v>3.9300000000000002E-2</v>
      </c>
      <c r="E27" s="227">
        <f>D27*E18</f>
        <v>0.55020000000000002</v>
      </c>
      <c r="F27" s="230"/>
      <c r="G27" s="198">
        <f t="shared" si="3"/>
        <v>0</v>
      </c>
      <c r="H27" s="254"/>
      <c r="I27" s="198"/>
      <c r="J27" s="197"/>
      <c r="K27" s="198"/>
      <c r="L27" s="198">
        <f t="shared" si="2"/>
        <v>0</v>
      </c>
    </row>
    <row r="28" spans="1:12" s="359" customFormat="1">
      <c r="A28" s="721">
        <v>3</v>
      </c>
      <c r="B28" s="1126" t="s">
        <v>120</v>
      </c>
      <c r="C28" s="1127" t="s">
        <v>62</v>
      </c>
      <c r="D28" s="1128"/>
      <c r="E28" s="1129">
        <v>1</v>
      </c>
      <c r="F28" s="1130"/>
      <c r="G28" s="721"/>
      <c r="H28" s="994"/>
      <c r="I28" s="721"/>
      <c r="J28" s="721"/>
      <c r="K28" s="721"/>
      <c r="L28" s="724"/>
    </row>
    <row r="29" spans="1:12" s="359" customFormat="1" ht="17.399999999999999" customHeight="1">
      <c r="A29" s="725"/>
      <c r="B29" s="966" t="s">
        <v>42</v>
      </c>
      <c r="C29" s="797" t="s">
        <v>62</v>
      </c>
      <c r="D29" s="797">
        <v>1</v>
      </c>
      <c r="E29" s="797">
        <f>D29*E28</f>
        <v>1</v>
      </c>
      <c r="F29" s="725"/>
      <c r="G29" s="725"/>
      <c r="H29" s="967"/>
      <c r="I29" s="729">
        <f>H29*E29</f>
        <v>0</v>
      </c>
      <c r="J29" s="725"/>
      <c r="K29" s="729"/>
      <c r="L29" s="729">
        <f>K29+I29+G29</f>
        <v>0</v>
      </c>
    </row>
    <row r="30" spans="1:12" s="359" customFormat="1">
      <c r="A30" s="725"/>
      <c r="B30" s="966" t="s">
        <v>49</v>
      </c>
      <c r="C30" s="797" t="s">
        <v>2</v>
      </c>
      <c r="D30" s="960">
        <v>0.01</v>
      </c>
      <c r="E30" s="961">
        <f>D30*E28</f>
        <v>0.01</v>
      </c>
      <c r="F30" s="725"/>
      <c r="G30" s="725"/>
      <c r="H30" s="967"/>
      <c r="I30" s="725"/>
      <c r="J30" s="725"/>
      <c r="K30" s="729">
        <f>E30*J30</f>
        <v>0</v>
      </c>
      <c r="L30" s="729">
        <f>K30+I30+G30</f>
        <v>0</v>
      </c>
    </row>
    <row r="31" spans="1:12" s="359" customFormat="1" ht="28.2">
      <c r="A31" s="725"/>
      <c r="B31" s="966" t="s">
        <v>451</v>
      </c>
      <c r="C31" s="797" t="s">
        <v>62</v>
      </c>
      <c r="D31" s="960"/>
      <c r="E31" s="961">
        <v>1</v>
      </c>
      <c r="F31" s="729"/>
      <c r="G31" s="736">
        <f>E31*F31</f>
        <v>0</v>
      </c>
      <c r="H31" s="963"/>
      <c r="I31" s="758"/>
      <c r="J31" s="758"/>
      <c r="K31" s="758"/>
      <c r="L31" s="729">
        <f>K31+I31+G31</f>
        <v>0</v>
      </c>
    </row>
    <row r="32" spans="1:12" s="18" customFormat="1">
      <c r="A32" s="1066"/>
      <c r="B32" s="1067" t="s">
        <v>233</v>
      </c>
      <c r="C32" s="1065" t="s">
        <v>62</v>
      </c>
      <c r="D32" s="739"/>
      <c r="E32" s="739">
        <v>2</v>
      </c>
      <c r="F32" s="739"/>
      <c r="G32" s="739">
        <f>F32*E32</f>
        <v>0</v>
      </c>
      <c r="H32" s="1068"/>
      <c r="I32" s="739"/>
      <c r="J32" s="739"/>
      <c r="K32" s="739"/>
      <c r="L32" s="729">
        <f>K32+I32+G32</f>
        <v>0</v>
      </c>
    </row>
    <row r="33" spans="1:25">
      <c r="A33" s="758"/>
      <c r="B33" s="773" t="s">
        <v>51</v>
      </c>
      <c r="C33" s="797" t="s">
        <v>2</v>
      </c>
      <c r="D33" s="960">
        <v>7.0000000000000007E-2</v>
      </c>
      <c r="E33" s="961">
        <f>D33*E28</f>
        <v>7.0000000000000007E-2</v>
      </c>
      <c r="F33" s="962"/>
      <c r="G33" s="729">
        <f>E33*F33</f>
        <v>0</v>
      </c>
      <c r="H33" s="963"/>
      <c r="I33" s="758"/>
      <c r="J33" s="758"/>
      <c r="K33" s="758"/>
      <c r="L33" s="729">
        <f>K33+I33+G33</f>
        <v>0</v>
      </c>
    </row>
    <row r="34" spans="1:25" s="40" customFormat="1" ht="28.2" customHeight="1">
      <c r="A34" s="341">
        <v>4</v>
      </c>
      <c r="B34" s="342" t="s">
        <v>121</v>
      </c>
      <c r="C34" s="343" t="s">
        <v>62</v>
      </c>
      <c r="D34" s="344"/>
      <c r="E34" s="345">
        <v>1</v>
      </c>
      <c r="F34" s="346"/>
      <c r="G34" s="347"/>
      <c r="H34" s="340"/>
      <c r="I34" s="347"/>
      <c r="J34" s="347"/>
      <c r="K34" s="347"/>
      <c r="L34" s="347"/>
      <c r="M34" s="292"/>
      <c r="N34" s="292"/>
    </row>
    <row r="35" spans="1:25" customFormat="1">
      <c r="A35" s="111"/>
      <c r="B35" s="228" t="s">
        <v>42</v>
      </c>
      <c r="C35" s="111" t="s">
        <v>43</v>
      </c>
      <c r="D35" s="111">
        <v>8.2200000000000006</v>
      </c>
      <c r="E35" s="238">
        <f>D35*E34</f>
        <v>8.2200000000000006</v>
      </c>
      <c r="F35" s="111"/>
      <c r="G35" s="123"/>
      <c r="H35" s="93"/>
      <c r="I35" s="1198">
        <f>H35*E35</f>
        <v>0</v>
      </c>
      <c r="J35" s="212"/>
      <c r="K35" s="212"/>
      <c r="L35" s="123">
        <f>K35+I35+G35</f>
        <v>0</v>
      </c>
      <c r="M35" s="18"/>
      <c r="N35" s="18"/>
    </row>
    <row r="36" spans="1:25" customFormat="1">
      <c r="A36" s="111"/>
      <c r="B36" s="228" t="s">
        <v>49</v>
      </c>
      <c r="C36" s="111" t="s">
        <v>2</v>
      </c>
      <c r="D36" s="111">
        <v>0.31</v>
      </c>
      <c r="E36" s="97">
        <f>E34*D36</f>
        <v>0.31</v>
      </c>
      <c r="F36" s="111"/>
      <c r="G36" s="123"/>
      <c r="H36" s="93"/>
      <c r="I36" s="212"/>
      <c r="J36" s="212"/>
      <c r="K36" s="1198">
        <f>J36*E36</f>
        <v>0</v>
      </c>
      <c r="L36" s="123">
        <f>K36+I36+G36</f>
        <v>0</v>
      </c>
      <c r="M36" s="18"/>
      <c r="N36" s="18"/>
    </row>
    <row r="37" spans="1:25" s="18" customFormat="1" ht="28.8">
      <c r="A37" s="1066"/>
      <c r="B37" s="1067" t="s">
        <v>452</v>
      </c>
      <c r="C37" s="1065" t="s">
        <v>62</v>
      </c>
      <c r="D37" s="739">
        <v>1</v>
      </c>
      <c r="E37" s="739">
        <f>D37*E34</f>
        <v>1</v>
      </c>
      <c r="F37" s="739"/>
      <c r="G37" s="739">
        <f>F37*E37</f>
        <v>0</v>
      </c>
      <c r="H37" s="1068"/>
      <c r="I37" s="739"/>
      <c r="J37" s="739"/>
      <c r="K37" s="739"/>
      <c r="L37" s="729">
        <f>K37+I37+G37</f>
        <v>0</v>
      </c>
    </row>
    <row r="38" spans="1:25" s="18" customFormat="1">
      <c r="A38" s="541"/>
      <c r="B38" s="609" t="s">
        <v>233</v>
      </c>
      <c r="C38" s="239" t="s">
        <v>62</v>
      </c>
      <c r="D38" s="516"/>
      <c r="E38" s="516">
        <v>2</v>
      </c>
      <c r="F38" s="516"/>
      <c r="G38" s="123">
        <f>F38*E38</f>
        <v>0</v>
      </c>
      <c r="H38" s="93"/>
      <c r="I38" s="123"/>
      <c r="J38" s="123"/>
      <c r="K38" s="123"/>
      <c r="L38" s="70">
        <f>K38+I38+G38</f>
        <v>0</v>
      </c>
    </row>
    <row r="39" spans="1:25" s="18" customFormat="1">
      <c r="A39" s="142"/>
      <c r="B39" s="240" t="s">
        <v>51</v>
      </c>
      <c r="C39" s="146" t="s">
        <v>2</v>
      </c>
      <c r="D39" s="241">
        <v>0.2</v>
      </c>
      <c r="E39" s="143">
        <f>D39*E34</f>
        <v>0.2</v>
      </c>
      <c r="F39" s="143"/>
      <c r="G39" s="231">
        <f>F39*E39</f>
        <v>0</v>
      </c>
      <c r="H39" s="501"/>
      <c r="I39" s="100"/>
      <c r="J39" s="143"/>
      <c r="K39" s="144"/>
      <c r="L39" s="143">
        <f>K39+I39+G39</f>
        <v>0</v>
      </c>
    </row>
    <row r="40" spans="1:25" s="39" customFormat="1" ht="30">
      <c r="A40" s="311">
        <v>5</v>
      </c>
      <c r="B40" s="322" t="s">
        <v>122</v>
      </c>
      <c r="C40" s="323" t="s">
        <v>62</v>
      </c>
      <c r="D40" s="337"/>
      <c r="E40" s="337">
        <v>9</v>
      </c>
      <c r="F40" s="311"/>
      <c r="G40" s="311"/>
      <c r="H40" s="340"/>
      <c r="I40" s="311"/>
      <c r="J40" s="311"/>
      <c r="K40" s="311"/>
      <c r="L40" s="311"/>
      <c r="M40" s="38"/>
      <c r="N40" s="38"/>
    </row>
    <row r="41" spans="1:25" s="39" customFormat="1">
      <c r="A41" s="725"/>
      <c r="B41" s="966" t="s">
        <v>42</v>
      </c>
      <c r="C41" s="797" t="s">
        <v>43</v>
      </c>
      <c r="D41" s="797">
        <v>1.51</v>
      </c>
      <c r="E41" s="797">
        <f>D41*E40</f>
        <v>13.59</v>
      </c>
      <c r="F41" s="725"/>
      <c r="G41" s="725"/>
      <c r="H41" s="967"/>
      <c r="I41" s="729">
        <f>H41*E41</f>
        <v>0</v>
      </c>
      <c r="J41" s="725"/>
      <c r="K41" s="729"/>
      <c r="L41" s="729">
        <f>K41+I41+G41</f>
        <v>0</v>
      </c>
      <c r="M41" s="38"/>
      <c r="N41" s="38"/>
    </row>
    <row r="42" spans="1:25" s="38" customFormat="1" ht="16.2">
      <c r="A42" s="725"/>
      <c r="B42" s="804" t="s">
        <v>49</v>
      </c>
      <c r="C42" s="805" t="s">
        <v>2</v>
      </c>
      <c r="D42" s="960">
        <v>0.13</v>
      </c>
      <c r="E42" s="961">
        <f>D42*E40</f>
        <v>1.17</v>
      </c>
      <c r="F42" s="725"/>
      <c r="G42" s="725"/>
      <c r="H42" s="967"/>
      <c r="I42" s="725"/>
      <c r="J42" s="725"/>
      <c r="K42" s="729">
        <f>E42*J42</f>
        <v>0</v>
      </c>
      <c r="L42" s="729">
        <f>K42+I42+G42</f>
        <v>0</v>
      </c>
    </row>
    <row r="43" spans="1:25" s="38" customFormat="1">
      <c r="A43" s="725"/>
      <c r="B43" s="1059" t="s">
        <v>171</v>
      </c>
      <c r="C43" s="797" t="s">
        <v>62</v>
      </c>
      <c r="D43" s="729"/>
      <c r="E43" s="961">
        <v>2</v>
      </c>
      <c r="F43" s="729"/>
      <c r="G43" s="729">
        <f>E43*F43</f>
        <v>0</v>
      </c>
      <c r="H43" s="967"/>
      <c r="I43" s="725"/>
      <c r="J43" s="725"/>
      <c r="K43" s="725"/>
      <c r="L43" s="729">
        <f>K43+I43+G43</f>
        <v>0</v>
      </c>
    </row>
    <row r="44" spans="1:25" s="38" customFormat="1">
      <c r="A44" s="758"/>
      <c r="B44" s="1060" t="s">
        <v>412</v>
      </c>
      <c r="C44" s="797" t="s">
        <v>62</v>
      </c>
      <c r="D44" s="729"/>
      <c r="E44" s="961">
        <v>7</v>
      </c>
      <c r="F44" s="729"/>
      <c r="G44" s="729">
        <f>E44*F44</f>
        <v>0</v>
      </c>
      <c r="H44" s="967"/>
      <c r="I44" s="725"/>
      <c r="J44" s="725"/>
      <c r="K44" s="725"/>
      <c r="L44" s="729">
        <f>K44+I44+G44</f>
        <v>0</v>
      </c>
    </row>
    <row r="45" spans="1:25" s="38" customFormat="1">
      <c r="A45" s="758"/>
      <c r="B45" s="773" t="s">
        <v>51</v>
      </c>
      <c r="C45" s="797" t="s">
        <v>2</v>
      </c>
      <c r="D45" s="960">
        <v>7.0000000000000007E-2</v>
      </c>
      <c r="E45" s="961">
        <f>D45*E40</f>
        <v>0.63000000000000012</v>
      </c>
      <c r="F45" s="962"/>
      <c r="G45" s="729">
        <f>E45*F45</f>
        <v>0</v>
      </c>
      <c r="H45" s="963"/>
      <c r="I45" s="758"/>
      <c r="J45" s="758"/>
      <c r="K45" s="758"/>
      <c r="L45" s="729">
        <f>K45+I45+G45</f>
        <v>0</v>
      </c>
    </row>
    <row r="46" spans="1:25" s="38" customFormat="1">
      <c r="A46" s="631"/>
      <c r="B46" s="638" t="s">
        <v>240</v>
      </c>
      <c r="C46" s="620"/>
      <c r="D46" s="622"/>
      <c r="E46" s="614"/>
      <c r="F46" s="629"/>
      <c r="G46" s="637"/>
      <c r="H46" s="630"/>
      <c r="I46" s="631"/>
      <c r="J46" s="631"/>
      <c r="K46" s="631"/>
      <c r="L46" s="615"/>
    </row>
    <row r="47" spans="1:25" ht="45">
      <c r="A47" s="303">
        <v>6</v>
      </c>
      <c r="B47" s="322" t="s">
        <v>124</v>
      </c>
      <c r="C47" s="323" t="s">
        <v>66</v>
      </c>
      <c r="D47" s="323"/>
      <c r="E47" s="323">
        <v>10</v>
      </c>
      <c r="F47" s="303"/>
      <c r="G47" s="303"/>
      <c r="H47" s="335"/>
      <c r="I47" s="303"/>
      <c r="J47" s="303"/>
      <c r="K47" s="303"/>
      <c r="L47" s="303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</row>
    <row r="48" spans="1:25">
      <c r="A48" s="517"/>
      <c r="B48" s="232" t="s">
        <v>42</v>
      </c>
      <c r="C48" s="146" t="s">
        <v>43</v>
      </c>
      <c r="D48" s="146">
        <v>0.60899999999999999</v>
      </c>
      <c r="E48" s="146">
        <f>D48*E47</f>
        <v>6.09</v>
      </c>
      <c r="F48" s="517"/>
      <c r="G48" s="517"/>
      <c r="H48" s="518"/>
      <c r="I48" s="70">
        <f>H48*E48</f>
        <v>0</v>
      </c>
      <c r="J48" s="517"/>
      <c r="K48" s="70"/>
      <c r="L48" s="70">
        <f t="shared" ref="L48:L54" si="4">K48+I48+G48</f>
        <v>0</v>
      </c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</row>
    <row r="49" spans="1:25">
      <c r="A49" s="517"/>
      <c r="B49" s="232" t="s">
        <v>49</v>
      </c>
      <c r="C49" s="146" t="s">
        <v>2</v>
      </c>
      <c r="D49" s="233">
        <v>2.0999999999999999E-3</v>
      </c>
      <c r="E49" s="242">
        <f>D49*E47</f>
        <v>2.0999999999999998E-2</v>
      </c>
      <c r="F49" s="517"/>
      <c r="G49" s="517"/>
      <c r="H49" s="518"/>
      <c r="I49" s="517"/>
      <c r="J49" s="517"/>
      <c r="K49" s="70">
        <f>E49*J49</f>
        <v>0</v>
      </c>
      <c r="L49" s="70">
        <f t="shared" si="4"/>
        <v>0</v>
      </c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</row>
    <row r="50" spans="1:25" ht="27.6" customHeight="1">
      <c r="A50" s="517"/>
      <c r="B50" s="243" t="s">
        <v>125</v>
      </c>
      <c r="C50" s="146" t="s">
        <v>103</v>
      </c>
      <c r="D50" s="146">
        <v>1</v>
      </c>
      <c r="E50" s="146">
        <f>D50*E47</f>
        <v>10</v>
      </c>
      <c r="F50" s="121"/>
      <c r="G50" s="70">
        <f>E50*F50</f>
        <v>0</v>
      </c>
      <c r="H50" s="518"/>
      <c r="I50" s="517"/>
      <c r="J50" s="517"/>
      <c r="K50" s="517"/>
      <c r="L50" s="70">
        <f t="shared" si="4"/>
        <v>0</v>
      </c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</row>
    <row r="51" spans="1:25">
      <c r="A51" s="517"/>
      <c r="B51" s="236" t="s">
        <v>126</v>
      </c>
      <c r="C51" s="146" t="s">
        <v>62</v>
      </c>
      <c r="D51" s="146"/>
      <c r="E51" s="146">
        <v>3</v>
      </c>
      <c r="F51" s="517"/>
      <c r="G51" s="70">
        <f>E51*F51</f>
        <v>0</v>
      </c>
      <c r="H51" s="518"/>
      <c r="I51" s="517"/>
      <c r="J51" s="517"/>
      <c r="K51" s="517"/>
      <c r="L51" s="70">
        <f t="shared" si="4"/>
        <v>0</v>
      </c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</row>
    <row r="52" spans="1:25">
      <c r="A52" s="517"/>
      <c r="B52" s="236" t="s">
        <v>127</v>
      </c>
      <c r="C52" s="146" t="s">
        <v>62</v>
      </c>
      <c r="D52" s="146"/>
      <c r="E52" s="146">
        <v>1</v>
      </c>
      <c r="F52" s="517"/>
      <c r="G52" s="70">
        <f>E52*F52</f>
        <v>0</v>
      </c>
      <c r="H52" s="518"/>
      <c r="I52" s="517"/>
      <c r="J52" s="517"/>
      <c r="K52" s="517"/>
      <c r="L52" s="70">
        <f t="shared" si="4"/>
        <v>0</v>
      </c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</row>
    <row r="53" spans="1:25" ht="16.2">
      <c r="A53" s="517"/>
      <c r="B53" s="236" t="s">
        <v>157</v>
      </c>
      <c r="C53" s="146" t="s">
        <v>62</v>
      </c>
      <c r="D53" s="146"/>
      <c r="E53" s="146">
        <v>1</v>
      </c>
      <c r="F53" s="517"/>
      <c r="G53" s="70">
        <f>E53*F53</f>
        <v>0</v>
      </c>
      <c r="H53" s="518"/>
      <c r="I53" s="517"/>
      <c r="J53" s="517"/>
      <c r="K53" s="517"/>
      <c r="L53" s="70">
        <f t="shared" si="4"/>
        <v>0</v>
      </c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</row>
    <row r="54" spans="1:25">
      <c r="A54" s="491"/>
      <c r="B54" s="149" t="s">
        <v>51</v>
      </c>
      <c r="C54" s="146" t="s">
        <v>2</v>
      </c>
      <c r="D54" s="233">
        <v>0.156</v>
      </c>
      <c r="E54" s="234">
        <f>D54*E47</f>
        <v>1.56</v>
      </c>
      <c r="F54" s="230"/>
      <c r="G54" s="70">
        <f>E54*F54</f>
        <v>0</v>
      </c>
      <c r="H54" s="255"/>
      <c r="I54" s="491"/>
      <c r="J54" s="491"/>
      <c r="K54" s="491"/>
      <c r="L54" s="70">
        <f t="shared" si="4"/>
        <v>0</v>
      </c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</row>
    <row r="55" spans="1:25" ht="16.2">
      <c r="A55" s="352">
        <v>7</v>
      </c>
      <c r="B55" s="353" t="s">
        <v>130</v>
      </c>
      <c r="C55" s="329" t="s">
        <v>129</v>
      </c>
      <c r="D55" s="329"/>
      <c r="E55" s="331">
        <v>1</v>
      </c>
      <c r="F55" s="331"/>
      <c r="G55" s="332"/>
      <c r="H55" s="333"/>
      <c r="I55" s="332"/>
      <c r="J55" s="331"/>
      <c r="K55" s="332"/>
      <c r="L55" s="332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</row>
    <row r="56" spans="1:25">
      <c r="A56" s="725"/>
      <c r="B56" s="966" t="s">
        <v>42</v>
      </c>
      <c r="C56" s="797" t="s">
        <v>129</v>
      </c>
      <c r="D56" s="797">
        <v>1</v>
      </c>
      <c r="E56" s="797">
        <f>D56*E55</f>
        <v>1</v>
      </c>
      <c r="F56" s="725"/>
      <c r="G56" s="725"/>
      <c r="H56" s="967"/>
      <c r="I56" s="729">
        <f>H56*E56</f>
        <v>0</v>
      </c>
      <c r="J56" s="725"/>
      <c r="K56" s="729"/>
      <c r="L56" s="729">
        <f t="shared" ref="L56:L61" si="5">K56+I56+G56</f>
        <v>0</v>
      </c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</row>
    <row r="57" spans="1:25" ht="21.9" customHeight="1">
      <c r="A57" s="767"/>
      <c r="B57" s="966" t="s">
        <v>49</v>
      </c>
      <c r="C57" s="797" t="s">
        <v>2</v>
      </c>
      <c r="D57" s="797">
        <v>0.13</v>
      </c>
      <c r="E57" s="613">
        <f>E55*D57</f>
        <v>0.13</v>
      </c>
      <c r="F57" s="767"/>
      <c r="G57" s="767"/>
      <c r="H57" s="967"/>
      <c r="I57" s="725"/>
      <c r="J57" s="725"/>
      <c r="K57" s="729">
        <f>J57*E57</f>
        <v>0</v>
      </c>
      <c r="L57" s="729">
        <f t="shared" si="5"/>
        <v>0</v>
      </c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</row>
    <row r="58" spans="1:25" ht="16.2">
      <c r="A58" s="680"/>
      <c r="B58" s="1061" t="s">
        <v>453</v>
      </c>
      <c r="C58" s="797" t="s">
        <v>129</v>
      </c>
      <c r="D58" s="805">
        <v>1</v>
      </c>
      <c r="E58" s="1062">
        <f>D58*E55</f>
        <v>1</v>
      </c>
      <c r="F58" s="1062"/>
      <c r="G58" s="1062">
        <f>F58*E58</f>
        <v>0</v>
      </c>
      <c r="H58" s="984"/>
      <c r="I58" s="1063"/>
      <c r="J58" s="1064"/>
      <c r="K58" s="1063"/>
      <c r="L58" s="729">
        <f t="shared" si="5"/>
        <v>0</v>
      </c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</row>
    <row r="59" spans="1:25" ht="16.2">
      <c r="A59" s="680"/>
      <c r="B59" s="1061" t="s">
        <v>413</v>
      </c>
      <c r="C59" s="1065" t="s">
        <v>62</v>
      </c>
      <c r="D59" s="805"/>
      <c r="E59" s="1062">
        <v>1</v>
      </c>
      <c r="F59" s="1062"/>
      <c r="G59" s="1062">
        <f>F59*E59</f>
        <v>0</v>
      </c>
      <c r="H59" s="984"/>
      <c r="I59" s="1063"/>
      <c r="J59" s="1064"/>
      <c r="K59" s="1063"/>
      <c r="L59" s="729">
        <f t="shared" si="5"/>
        <v>0</v>
      </c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</row>
    <row r="60" spans="1:25" s="18" customFormat="1">
      <c r="A60" s="1066"/>
      <c r="B60" s="1067" t="s">
        <v>233</v>
      </c>
      <c r="C60" s="1065" t="s">
        <v>62</v>
      </c>
      <c r="D60" s="739"/>
      <c r="E60" s="739">
        <v>1</v>
      </c>
      <c r="F60" s="739"/>
      <c r="G60" s="739">
        <f>F60*E60</f>
        <v>0</v>
      </c>
      <c r="H60" s="1068"/>
      <c r="I60" s="739"/>
      <c r="J60" s="739"/>
      <c r="K60" s="739"/>
      <c r="L60" s="729">
        <f t="shared" si="5"/>
        <v>0</v>
      </c>
    </row>
    <row r="61" spans="1:25">
      <c r="A61" s="758"/>
      <c r="B61" s="773" t="s">
        <v>51</v>
      </c>
      <c r="C61" s="797" t="s">
        <v>2</v>
      </c>
      <c r="D61" s="960">
        <v>0.94</v>
      </c>
      <c r="E61" s="961">
        <f>D61*E55</f>
        <v>0.94</v>
      </c>
      <c r="F61" s="962"/>
      <c r="G61" s="729">
        <f>E61*F61</f>
        <v>0</v>
      </c>
      <c r="H61" s="963"/>
      <c r="I61" s="758"/>
      <c r="J61" s="758"/>
      <c r="K61" s="758"/>
      <c r="L61" s="729">
        <f t="shared" si="5"/>
        <v>0</v>
      </c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</row>
    <row r="62" spans="1:25">
      <c r="A62" s="311">
        <v>8</v>
      </c>
      <c r="B62" s="336" t="s">
        <v>150</v>
      </c>
      <c r="C62" s="323" t="s">
        <v>62</v>
      </c>
      <c r="D62" s="337"/>
      <c r="E62" s="338">
        <v>1</v>
      </c>
      <c r="F62" s="339"/>
      <c r="G62" s="311"/>
      <c r="H62" s="340"/>
      <c r="I62" s="311"/>
      <c r="J62" s="311"/>
      <c r="K62" s="311"/>
      <c r="L62" s="318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</row>
    <row r="63" spans="1:25">
      <c r="A63" s="725"/>
      <c r="B63" s="966" t="s">
        <v>42</v>
      </c>
      <c r="C63" s="797" t="s">
        <v>129</v>
      </c>
      <c r="D63" s="797">
        <v>1</v>
      </c>
      <c r="E63" s="797">
        <f>D63*E62</f>
        <v>1</v>
      </c>
      <c r="F63" s="725"/>
      <c r="G63" s="725"/>
      <c r="H63" s="967"/>
      <c r="I63" s="729">
        <f>H63*E63</f>
        <v>0</v>
      </c>
      <c r="J63" s="725"/>
      <c r="K63" s="729"/>
      <c r="L63" s="729">
        <f t="shared" ref="L63:L67" si="6">K63+I63+G63</f>
        <v>0</v>
      </c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</row>
    <row r="64" spans="1:25">
      <c r="A64" s="767"/>
      <c r="B64" s="966" t="s">
        <v>49</v>
      </c>
      <c r="C64" s="797" t="s">
        <v>2</v>
      </c>
      <c r="D64" s="797">
        <v>7.0000000000000007E-2</v>
      </c>
      <c r="E64" s="613">
        <f>E62*D64</f>
        <v>7.0000000000000007E-2</v>
      </c>
      <c r="F64" s="767"/>
      <c r="G64" s="767"/>
      <c r="H64" s="967"/>
      <c r="I64" s="725"/>
      <c r="J64" s="725"/>
      <c r="K64" s="729">
        <f>J64*E64</f>
        <v>0</v>
      </c>
      <c r="L64" s="729">
        <f t="shared" si="6"/>
        <v>0</v>
      </c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</row>
    <row r="65" spans="1:25">
      <c r="A65" s="767"/>
      <c r="B65" s="966" t="s">
        <v>454</v>
      </c>
      <c r="C65" s="797" t="s">
        <v>129</v>
      </c>
      <c r="D65" s="797">
        <v>1</v>
      </c>
      <c r="E65" s="613">
        <f>D65*E62</f>
        <v>1</v>
      </c>
      <c r="F65" s="493"/>
      <c r="G65" s="729">
        <f>E65*F65</f>
        <v>0</v>
      </c>
      <c r="H65" s="963"/>
      <c r="I65" s="758"/>
      <c r="J65" s="758"/>
      <c r="K65" s="758"/>
      <c r="L65" s="729">
        <f t="shared" si="6"/>
        <v>0</v>
      </c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</row>
    <row r="66" spans="1:25">
      <c r="A66" s="767"/>
      <c r="B66" s="966" t="s">
        <v>411</v>
      </c>
      <c r="C66" s="797" t="s">
        <v>129</v>
      </c>
      <c r="D66" s="797">
        <v>1</v>
      </c>
      <c r="E66" s="613">
        <v>1</v>
      </c>
      <c r="F66" s="493"/>
      <c r="G66" s="729">
        <f>E66*F66</f>
        <v>0</v>
      </c>
      <c r="H66" s="963"/>
      <c r="I66" s="758"/>
      <c r="J66" s="758"/>
      <c r="K66" s="758"/>
      <c r="L66" s="729">
        <f t="shared" si="6"/>
        <v>0</v>
      </c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</row>
    <row r="67" spans="1:25">
      <c r="A67" s="758"/>
      <c r="B67" s="773" t="s">
        <v>51</v>
      </c>
      <c r="C67" s="797" t="s">
        <v>2</v>
      </c>
      <c r="D67" s="960">
        <v>0.37</v>
      </c>
      <c r="E67" s="961">
        <f>D67*E62</f>
        <v>0.37</v>
      </c>
      <c r="F67" s="962"/>
      <c r="G67" s="729">
        <f>E67*F67</f>
        <v>0</v>
      </c>
      <c r="H67" s="963"/>
      <c r="I67" s="758"/>
      <c r="J67" s="758"/>
      <c r="K67" s="758"/>
      <c r="L67" s="729">
        <f t="shared" si="6"/>
        <v>0</v>
      </c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</row>
    <row r="68" spans="1:25">
      <c r="A68" s="348"/>
      <c r="B68" s="348" t="s">
        <v>123</v>
      </c>
      <c r="C68" s="348"/>
      <c r="D68" s="349"/>
      <c r="E68" s="348"/>
      <c r="F68" s="348"/>
      <c r="G68" s="350">
        <f>SUM(G9:G67)</f>
        <v>0</v>
      </c>
      <c r="H68" s="351"/>
      <c r="I68" s="350">
        <f>SUM(I9:I67)</f>
        <v>0</v>
      </c>
      <c r="J68" s="350"/>
      <c r="K68" s="350">
        <f>SUM(K9:K67)</f>
        <v>0</v>
      </c>
      <c r="L68" s="350">
        <f>SUM(L9:L67)</f>
        <v>0</v>
      </c>
    </row>
    <row r="69" spans="1:25" s="192" customFormat="1" ht="16.5" customHeight="1">
      <c r="A69" s="733"/>
      <c r="B69" s="745" t="s">
        <v>336</v>
      </c>
      <c r="C69" s="958">
        <v>0.05</v>
      </c>
      <c r="D69" s="735"/>
      <c r="E69" s="736"/>
      <c r="F69" s="736"/>
      <c r="G69" s="739"/>
      <c r="H69" s="736"/>
      <c r="I69" s="739"/>
      <c r="J69" s="738"/>
      <c r="K69" s="739"/>
      <c r="L69" s="739">
        <f>G68*C69</f>
        <v>0</v>
      </c>
      <c r="M69" s="150"/>
      <c r="N69" s="124"/>
      <c r="T69" s="277"/>
    </row>
    <row r="70" spans="1:25" s="192" customFormat="1" ht="16.5" customHeight="1">
      <c r="A70" s="733"/>
      <c r="B70" s="126" t="s">
        <v>21</v>
      </c>
      <c r="C70" s="725"/>
      <c r="D70" s="735"/>
      <c r="E70" s="736"/>
      <c r="F70" s="736"/>
      <c r="G70" s="739"/>
      <c r="H70" s="736"/>
      <c r="I70" s="739"/>
      <c r="J70" s="738"/>
      <c r="K70" s="739"/>
      <c r="L70" s="959">
        <f>L68+L69</f>
        <v>0</v>
      </c>
      <c r="M70" s="150"/>
      <c r="N70" s="124"/>
      <c r="T70" s="277"/>
    </row>
    <row r="71" spans="1:25">
      <c r="A71" s="491"/>
      <c r="B71" s="954" t="s">
        <v>93</v>
      </c>
      <c r="C71" s="209">
        <v>0.1</v>
      </c>
      <c r="D71" s="954"/>
      <c r="E71" s="209"/>
      <c r="F71" s="954"/>
      <c r="G71" s="210"/>
      <c r="H71" s="953"/>
      <c r="I71" s="210"/>
      <c r="J71" s="210"/>
      <c r="K71" s="210"/>
      <c r="L71" s="210">
        <f>L70*C71</f>
        <v>0</v>
      </c>
    </row>
    <row r="72" spans="1:25">
      <c r="A72" s="491"/>
      <c r="B72" s="954" t="s">
        <v>21</v>
      </c>
      <c r="C72" s="491"/>
      <c r="D72" s="954"/>
      <c r="E72" s="491"/>
      <c r="F72" s="491"/>
      <c r="G72" s="211"/>
      <c r="H72" s="255"/>
      <c r="I72" s="211"/>
      <c r="J72" s="211"/>
      <c r="K72" s="211"/>
      <c r="L72" s="211">
        <f>L70+L71</f>
        <v>0</v>
      </c>
    </row>
    <row r="73" spans="1:25">
      <c r="A73" s="491"/>
      <c r="B73" s="954" t="s">
        <v>96</v>
      </c>
      <c r="C73" s="209">
        <v>0.08</v>
      </c>
      <c r="D73" s="954"/>
      <c r="E73" s="209"/>
      <c r="F73" s="954"/>
      <c r="G73" s="210"/>
      <c r="H73" s="953"/>
      <c r="I73" s="210"/>
      <c r="J73" s="210"/>
      <c r="K73" s="210"/>
      <c r="L73" s="210">
        <f>L72*C73</f>
        <v>0</v>
      </c>
    </row>
    <row r="74" spans="1:25">
      <c r="A74" s="491"/>
      <c r="B74" s="954" t="s">
        <v>21</v>
      </c>
      <c r="C74" s="491"/>
      <c r="D74" s="954"/>
      <c r="E74" s="491"/>
      <c r="F74" s="491"/>
      <c r="G74" s="211"/>
      <c r="H74" s="255"/>
      <c r="I74" s="211"/>
      <c r="J74" s="211"/>
      <c r="K74" s="211"/>
      <c r="L74" s="211">
        <f>SUM(L72:L73)</f>
        <v>0</v>
      </c>
    </row>
    <row r="75" spans="1:25" ht="21.9" customHeight="1">
      <c r="A75" s="46"/>
      <c r="B75" s="47"/>
      <c r="C75" s="48"/>
      <c r="D75" s="47"/>
      <c r="E75" s="47"/>
      <c r="F75" s="47"/>
      <c r="G75" s="47"/>
      <c r="H75" s="266"/>
      <c r="I75" s="47"/>
      <c r="J75" s="49"/>
      <c r="K75" s="47"/>
      <c r="L75" s="47"/>
    </row>
    <row r="76" spans="1:25" ht="21.9" customHeight="1">
      <c r="A76" s="46"/>
      <c r="B76" s="47"/>
      <c r="C76" s="48"/>
      <c r="D76" s="47"/>
      <c r="E76" s="47"/>
      <c r="F76" s="47"/>
      <c r="G76" s="47"/>
      <c r="H76" s="266"/>
      <c r="I76" s="47"/>
      <c r="J76" s="49"/>
      <c r="K76" s="47"/>
      <c r="L76" s="47"/>
    </row>
    <row r="77" spans="1:25" ht="21.9" customHeight="1">
      <c r="A77" s="46"/>
      <c r="B77" s="47"/>
      <c r="C77" s="48"/>
      <c r="D77" s="47"/>
      <c r="E77" s="47"/>
      <c r="F77" s="47"/>
      <c r="G77" s="47"/>
      <c r="H77" s="266"/>
      <c r="I77" s="47"/>
      <c r="J77" s="49"/>
      <c r="K77" s="47"/>
      <c r="L77" s="47"/>
    </row>
    <row r="78" spans="1:25" ht="21.9" customHeight="1">
      <c r="A78" s="46"/>
      <c r="B78" s="47"/>
      <c r="C78" s="48"/>
      <c r="D78" s="47"/>
      <c r="E78" s="47"/>
      <c r="F78" s="47"/>
      <c r="G78" s="47"/>
      <c r="H78" s="266"/>
      <c r="I78" s="47"/>
      <c r="J78" s="49"/>
      <c r="K78" s="47"/>
      <c r="L78" s="47"/>
    </row>
    <row r="79" spans="1:25" ht="21.9" customHeight="1">
      <c r="A79" s="46"/>
      <c r="B79" s="47"/>
      <c r="C79" s="48"/>
      <c r="D79" s="47"/>
      <c r="E79" s="47"/>
      <c r="F79" s="47"/>
      <c r="G79" s="47"/>
      <c r="H79" s="266"/>
      <c r="I79" s="47"/>
      <c r="J79" s="49"/>
      <c r="K79" s="47"/>
      <c r="L79" s="47"/>
    </row>
    <row r="80" spans="1:25" ht="21.9" customHeight="1">
      <c r="A80" s="46"/>
      <c r="B80" s="47"/>
      <c r="C80" s="48"/>
      <c r="D80" s="47"/>
      <c r="E80" s="47"/>
      <c r="F80" s="47"/>
      <c r="G80" s="47"/>
      <c r="H80" s="266"/>
      <c r="I80" s="47"/>
      <c r="J80" s="49"/>
      <c r="K80" s="47"/>
      <c r="L80" s="47"/>
    </row>
    <row r="81" spans="1:12" ht="21.9" customHeight="1">
      <c r="A81" s="46"/>
      <c r="B81" s="47"/>
      <c r="C81" s="48"/>
      <c r="D81" s="47"/>
      <c r="E81" s="47"/>
      <c r="F81" s="47"/>
      <c r="G81" s="47"/>
      <c r="H81" s="266"/>
      <c r="I81" s="47"/>
      <c r="J81" s="49"/>
      <c r="K81" s="47"/>
      <c r="L81" s="47"/>
    </row>
    <row r="82" spans="1:12" ht="21.9" customHeight="1">
      <c r="A82" s="46"/>
      <c r="B82" s="47"/>
      <c r="C82" s="48"/>
      <c r="D82" s="47"/>
      <c r="E82" s="47"/>
      <c r="F82" s="47"/>
      <c r="G82" s="47"/>
      <c r="H82" s="266"/>
      <c r="I82" s="47"/>
      <c r="J82" s="49"/>
      <c r="K82" s="47"/>
      <c r="L82" s="47"/>
    </row>
    <row r="83" spans="1:12" ht="21.9" customHeight="1">
      <c r="A83" s="46"/>
      <c r="B83" s="47"/>
      <c r="C83" s="48"/>
      <c r="D83" s="47"/>
      <c r="E83" s="47"/>
      <c r="F83" s="47"/>
      <c r="G83" s="47"/>
      <c r="H83" s="266"/>
      <c r="I83" s="47"/>
      <c r="J83" s="49"/>
      <c r="K83" s="47"/>
      <c r="L83" s="47"/>
    </row>
    <row r="84" spans="1:12" ht="21.9" customHeight="1">
      <c r="A84" s="46"/>
      <c r="B84" s="47"/>
      <c r="C84" s="48"/>
      <c r="D84" s="47"/>
      <c r="E84" s="47"/>
      <c r="F84" s="47"/>
      <c r="G84" s="47"/>
      <c r="H84" s="266"/>
      <c r="I84" s="47"/>
      <c r="J84" s="49"/>
      <c r="K84" s="47"/>
      <c r="L84" s="47"/>
    </row>
    <row r="85" spans="1:12" ht="21.9" customHeight="1">
      <c r="A85" s="46"/>
      <c r="B85" s="47"/>
      <c r="C85" s="48"/>
      <c r="D85" s="47"/>
      <c r="E85" s="47"/>
      <c r="F85" s="47"/>
      <c r="G85" s="47"/>
      <c r="H85" s="266"/>
      <c r="I85" s="47"/>
      <c r="J85" s="49"/>
      <c r="K85" s="47"/>
      <c r="L85" s="47"/>
    </row>
    <row r="86" spans="1:12" ht="21.9" customHeight="1">
      <c r="A86" s="46"/>
      <c r="B86" s="47"/>
      <c r="C86" s="48"/>
      <c r="D86" s="47"/>
      <c r="E86" s="47"/>
      <c r="F86" s="47"/>
      <c r="G86" s="47"/>
      <c r="H86" s="266"/>
      <c r="I86" s="47"/>
      <c r="J86" s="49"/>
      <c r="K86" s="47"/>
      <c r="L86" s="47"/>
    </row>
    <row r="87" spans="1:12" ht="21.9" customHeight="1">
      <c r="A87" s="46"/>
      <c r="B87" s="47"/>
      <c r="C87" s="48"/>
      <c r="D87" s="47"/>
      <c r="E87" s="47"/>
      <c r="F87" s="47"/>
      <c r="G87" s="47"/>
      <c r="H87" s="266"/>
      <c r="I87" s="47"/>
      <c r="J87" s="49"/>
      <c r="K87" s="47"/>
      <c r="L87" s="47"/>
    </row>
    <row r="88" spans="1:12" ht="21.9" customHeight="1">
      <c r="A88" s="46"/>
      <c r="B88" s="47"/>
      <c r="C88" s="48"/>
      <c r="D88" s="47"/>
      <c r="E88" s="47"/>
      <c r="F88" s="47"/>
      <c r="G88" s="47"/>
      <c r="H88" s="266"/>
      <c r="I88" s="47"/>
      <c r="J88" s="49"/>
      <c r="K88" s="47"/>
      <c r="L88" s="47"/>
    </row>
    <row r="89" spans="1:12" ht="21.9" customHeight="1">
      <c r="A89" s="46"/>
      <c r="B89" s="47"/>
      <c r="C89" s="48"/>
      <c r="D89" s="47"/>
      <c r="E89" s="47"/>
      <c r="F89" s="47"/>
      <c r="G89" s="47"/>
      <c r="H89" s="266"/>
      <c r="I89" s="47"/>
      <c r="J89" s="49"/>
      <c r="K89" s="47"/>
      <c r="L89" s="47"/>
    </row>
    <row r="90" spans="1:12" ht="21.9" customHeight="1">
      <c r="A90" s="46"/>
      <c r="B90" s="47"/>
      <c r="C90" s="48"/>
      <c r="D90" s="47"/>
      <c r="E90" s="47"/>
      <c r="F90" s="47"/>
      <c r="G90" s="47"/>
      <c r="H90" s="266"/>
      <c r="I90" s="47"/>
      <c r="J90" s="49"/>
      <c r="K90" s="47"/>
      <c r="L90" s="47"/>
    </row>
    <row r="91" spans="1:12" ht="21.9" customHeight="1">
      <c r="A91" s="46"/>
      <c r="B91" s="47"/>
      <c r="C91" s="48"/>
      <c r="D91" s="47"/>
      <c r="E91" s="47"/>
      <c r="F91" s="47"/>
      <c r="G91" s="47"/>
      <c r="H91" s="266"/>
      <c r="I91" s="47"/>
      <c r="J91" s="49"/>
      <c r="K91" s="47"/>
      <c r="L91" s="47"/>
    </row>
    <row r="92" spans="1:12" ht="21.9" customHeight="1">
      <c r="A92" s="46"/>
      <c r="B92" s="47"/>
      <c r="C92" s="48"/>
      <c r="D92" s="47"/>
      <c r="E92" s="47"/>
      <c r="F92" s="47"/>
      <c r="G92" s="47"/>
      <c r="H92" s="266"/>
      <c r="I92" s="47"/>
      <c r="J92" s="49"/>
      <c r="K92" s="47"/>
      <c r="L92" s="47"/>
    </row>
    <row r="93" spans="1:12" ht="21.9" customHeight="1">
      <c r="A93" s="46"/>
      <c r="B93" s="47"/>
      <c r="C93" s="48"/>
      <c r="D93" s="47"/>
      <c r="E93" s="47"/>
      <c r="F93" s="47"/>
      <c r="G93" s="47"/>
      <c r="H93" s="266"/>
      <c r="I93" s="47"/>
      <c r="J93" s="49"/>
      <c r="K93" s="47"/>
      <c r="L93" s="47"/>
    </row>
    <row r="94" spans="1:12" ht="21.9" customHeight="1">
      <c r="A94" s="46"/>
      <c r="B94" s="47"/>
      <c r="C94" s="48"/>
      <c r="D94" s="47"/>
      <c r="E94" s="47"/>
      <c r="F94" s="47"/>
      <c r="G94" s="47"/>
      <c r="H94" s="266"/>
      <c r="I94" s="47"/>
      <c r="J94" s="49"/>
      <c r="K94" s="47"/>
      <c r="L94" s="47"/>
    </row>
    <row r="95" spans="1:12" ht="21.9" customHeight="1">
      <c r="A95" s="46"/>
      <c r="B95" s="47"/>
      <c r="C95" s="48"/>
      <c r="D95" s="47"/>
      <c r="E95" s="47"/>
      <c r="F95" s="47"/>
      <c r="G95" s="47"/>
      <c r="H95" s="266"/>
      <c r="I95" s="47"/>
      <c r="J95" s="49"/>
      <c r="K95" s="47"/>
      <c r="L95" s="47"/>
    </row>
    <row r="96" spans="1:12" ht="21.9" customHeight="1">
      <c r="A96" s="46"/>
      <c r="B96" s="47"/>
      <c r="C96" s="48"/>
      <c r="D96" s="47"/>
      <c r="E96" s="47"/>
      <c r="F96" s="47"/>
      <c r="G96" s="47"/>
      <c r="H96" s="266"/>
      <c r="I96" s="47"/>
      <c r="J96" s="49"/>
      <c r="K96" s="47"/>
      <c r="L96" s="47"/>
    </row>
    <row r="97" spans="1:12" ht="21.9" customHeight="1">
      <c r="A97" s="46"/>
      <c r="B97" s="47"/>
      <c r="C97" s="48"/>
      <c r="D97" s="47"/>
      <c r="E97" s="47"/>
      <c r="F97" s="47"/>
      <c r="G97" s="47"/>
      <c r="H97" s="266"/>
      <c r="I97" s="47"/>
      <c r="J97" s="49"/>
      <c r="K97" s="47"/>
      <c r="L97" s="47"/>
    </row>
    <row r="98" spans="1:12" ht="21.9" customHeight="1">
      <c r="A98" s="46"/>
      <c r="B98" s="47"/>
      <c r="C98" s="48"/>
      <c r="D98" s="47"/>
      <c r="E98" s="47"/>
      <c r="F98" s="47"/>
      <c r="G98" s="47"/>
      <c r="H98" s="266"/>
      <c r="I98" s="47"/>
      <c r="J98" s="49"/>
      <c r="K98" s="47"/>
      <c r="L98" s="47"/>
    </row>
    <row r="99" spans="1:12" ht="21.9" customHeight="1">
      <c r="A99" s="46"/>
      <c r="B99" s="47"/>
      <c r="C99" s="48"/>
      <c r="D99" s="47"/>
      <c r="E99" s="47"/>
      <c r="F99" s="47"/>
      <c r="G99" s="47"/>
      <c r="H99" s="266"/>
      <c r="I99" s="47"/>
      <c r="J99" s="49"/>
      <c r="K99" s="47"/>
      <c r="L99" s="47"/>
    </row>
    <row r="100" spans="1:12" ht="21.9" customHeight="1">
      <c r="A100" s="46"/>
      <c r="B100" s="47"/>
      <c r="C100" s="48"/>
      <c r="D100" s="47"/>
      <c r="E100" s="47"/>
      <c r="F100" s="47"/>
      <c r="G100" s="47"/>
      <c r="H100" s="266"/>
      <c r="I100" s="47"/>
      <c r="J100" s="49"/>
      <c r="K100" s="47"/>
      <c r="L100" s="47"/>
    </row>
    <row r="101" spans="1:12" ht="21.9" customHeight="1">
      <c r="A101" s="46"/>
      <c r="B101" s="47"/>
      <c r="C101" s="48"/>
      <c r="D101" s="47"/>
      <c r="E101" s="47"/>
      <c r="F101" s="47"/>
      <c r="G101" s="47"/>
      <c r="H101" s="266"/>
      <c r="I101" s="47"/>
      <c r="J101" s="49"/>
      <c r="K101" s="47"/>
      <c r="L101" s="47"/>
    </row>
    <row r="102" spans="1:12" ht="21.9" customHeight="1">
      <c r="A102" s="46"/>
      <c r="B102" s="47"/>
      <c r="C102" s="48"/>
      <c r="D102" s="47"/>
      <c r="E102" s="47"/>
      <c r="F102" s="47"/>
      <c r="G102" s="47"/>
      <c r="H102" s="266"/>
      <c r="I102" s="47"/>
      <c r="J102" s="49"/>
      <c r="K102" s="47"/>
      <c r="L102" s="47"/>
    </row>
    <row r="103" spans="1:12" ht="21.9" customHeight="1">
      <c r="A103" s="46"/>
      <c r="B103" s="47"/>
      <c r="C103" s="48"/>
      <c r="D103" s="47"/>
      <c r="E103" s="47"/>
      <c r="F103" s="47"/>
      <c r="G103" s="47"/>
      <c r="H103" s="266"/>
      <c r="I103" s="47"/>
      <c r="J103" s="49"/>
      <c r="K103" s="47"/>
      <c r="L103" s="47"/>
    </row>
    <row r="104" spans="1:12" ht="21.9" customHeight="1">
      <c r="A104" s="46"/>
      <c r="B104" s="47"/>
      <c r="C104" s="48"/>
      <c r="D104" s="47"/>
      <c r="E104" s="47"/>
      <c r="F104" s="47"/>
      <c r="G104" s="47"/>
      <c r="H104" s="266"/>
      <c r="I104" s="47"/>
      <c r="J104" s="49"/>
      <c r="K104" s="47"/>
      <c r="L104" s="47"/>
    </row>
    <row r="105" spans="1:12" ht="21.9" customHeight="1">
      <c r="A105" s="46"/>
      <c r="B105" s="47"/>
      <c r="C105" s="48"/>
      <c r="D105" s="47"/>
      <c r="E105" s="47"/>
      <c r="F105" s="47"/>
      <c r="G105" s="47"/>
      <c r="H105" s="266"/>
      <c r="I105" s="47"/>
      <c r="J105" s="49"/>
      <c r="K105" s="47"/>
      <c r="L105" s="47"/>
    </row>
    <row r="106" spans="1:12" ht="21.9" customHeight="1">
      <c r="A106" s="46"/>
      <c r="B106" s="47"/>
      <c r="C106" s="48"/>
      <c r="D106" s="47"/>
      <c r="E106" s="47"/>
      <c r="F106" s="47"/>
      <c r="G106" s="47"/>
      <c r="H106" s="266"/>
      <c r="I106" s="47"/>
      <c r="J106" s="49"/>
      <c r="K106" s="47"/>
      <c r="L106" s="47"/>
    </row>
    <row r="107" spans="1:12" ht="21.9" customHeight="1">
      <c r="A107" s="46"/>
      <c r="B107" s="47"/>
      <c r="C107" s="48"/>
      <c r="D107" s="47"/>
      <c r="E107" s="47"/>
      <c r="F107" s="47"/>
      <c r="G107" s="47"/>
      <c r="H107" s="266"/>
      <c r="I107" s="47"/>
      <c r="J107" s="49"/>
      <c r="K107" s="47"/>
      <c r="L107" s="47"/>
    </row>
    <row r="108" spans="1:12" ht="21.9" customHeight="1">
      <c r="A108" s="46"/>
      <c r="B108" s="47"/>
      <c r="C108" s="48"/>
      <c r="D108" s="47"/>
      <c r="E108" s="47"/>
      <c r="F108" s="47"/>
      <c r="G108" s="47"/>
      <c r="H108" s="266"/>
      <c r="I108" s="47"/>
      <c r="J108" s="49"/>
      <c r="K108" s="47"/>
      <c r="L108" s="47"/>
    </row>
    <row r="109" spans="1:12" ht="21.9" customHeight="1">
      <c r="A109" s="46"/>
      <c r="B109" s="47"/>
      <c r="C109" s="48"/>
      <c r="D109" s="47"/>
      <c r="E109" s="47"/>
      <c r="F109" s="47"/>
      <c r="G109" s="47"/>
      <c r="H109" s="266"/>
      <c r="I109" s="47"/>
      <c r="J109" s="49"/>
      <c r="K109" s="47"/>
      <c r="L109" s="47"/>
    </row>
    <row r="110" spans="1:12" ht="21.9" customHeight="1">
      <c r="A110" s="46"/>
      <c r="B110" s="47"/>
      <c r="C110" s="48"/>
      <c r="D110" s="47"/>
      <c r="E110" s="47"/>
      <c r="F110" s="47"/>
      <c r="G110" s="47"/>
      <c r="H110" s="266"/>
      <c r="I110" s="47"/>
      <c r="J110" s="49"/>
      <c r="K110" s="47"/>
      <c r="L110" s="47"/>
    </row>
    <row r="111" spans="1:12" ht="21.9" customHeight="1">
      <c r="A111" s="46"/>
      <c r="B111" s="47"/>
      <c r="C111" s="48"/>
      <c r="D111" s="47"/>
      <c r="E111" s="47"/>
      <c r="F111" s="47"/>
      <c r="G111" s="47"/>
      <c r="H111" s="266"/>
      <c r="I111" s="47"/>
      <c r="J111" s="49"/>
      <c r="K111" s="47"/>
      <c r="L111" s="47"/>
    </row>
    <row r="112" spans="1:12" ht="21.9" customHeight="1">
      <c r="A112" s="46"/>
      <c r="B112" s="47"/>
      <c r="C112" s="48"/>
      <c r="D112" s="47"/>
      <c r="E112" s="47"/>
      <c r="F112" s="47"/>
      <c r="G112" s="47"/>
      <c r="H112" s="266"/>
      <c r="I112" s="47"/>
      <c r="J112" s="49"/>
      <c r="K112" s="47"/>
      <c r="L112" s="47"/>
    </row>
    <row r="113" spans="1:12" ht="21.9" customHeight="1">
      <c r="A113" s="46"/>
      <c r="B113" s="47"/>
      <c r="C113" s="48"/>
      <c r="D113" s="47"/>
      <c r="E113" s="47"/>
      <c r="F113" s="47"/>
      <c r="G113" s="47"/>
      <c r="H113" s="266"/>
      <c r="I113" s="47"/>
      <c r="J113" s="49"/>
      <c r="K113" s="47"/>
      <c r="L113" s="47"/>
    </row>
    <row r="114" spans="1:12" ht="21.9" customHeight="1">
      <c r="A114" s="46"/>
      <c r="B114" s="47"/>
      <c r="C114" s="48"/>
      <c r="D114" s="47"/>
      <c r="E114" s="47"/>
      <c r="F114" s="47"/>
      <c r="G114" s="47"/>
      <c r="H114" s="266"/>
      <c r="I114" s="47"/>
      <c r="J114" s="49"/>
      <c r="K114" s="47"/>
      <c r="L114" s="47"/>
    </row>
    <row r="115" spans="1:12" ht="21.9" customHeight="1">
      <c r="A115" s="46"/>
      <c r="B115" s="47"/>
      <c r="C115" s="48"/>
      <c r="D115" s="47"/>
      <c r="E115" s="47"/>
      <c r="F115" s="47"/>
      <c r="G115" s="47"/>
      <c r="H115" s="266"/>
      <c r="I115" s="47"/>
      <c r="J115" s="49"/>
      <c r="K115" s="47"/>
      <c r="L115" s="47"/>
    </row>
    <row r="116" spans="1:12" ht="21.9" customHeight="1">
      <c r="A116" s="46"/>
      <c r="B116" s="47"/>
      <c r="C116" s="48"/>
      <c r="D116" s="47"/>
      <c r="E116" s="47"/>
      <c r="F116" s="47"/>
      <c r="G116" s="47"/>
      <c r="H116" s="266"/>
      <c r="I116" s="47"/>
      <c r="J116" s="49"/>
      <c r="K116" s="47"/>
      <c r="L116" s="47"/>
    </row>
    <row r="117" spans="1:12" ht="21.9" customHeight="1">
      <c r="A117" s="46"/>
      <c r="B117" s="47"/>
      <c r="C117" s="48"/>
      <c r="D117" s="47"/>
      <c r="E117" s="47"/>
      <c r="F117" s="47"/>
      <c r="G117" s="47"/>
      <c r="H117" s="266"/>
      <c r="I117" s="47"/>
      <c r="J117" s="49"/>
      <c r="K117" s="47"/>
      <c r="L117" s="47"/>
    </row>
    <row r="118" spans="1:12" ht="21.9" customHeight="1">
      <c r="A118" s="46"/>
      <c r="B118" s="47"/>
      <c r="C118" s="48"/>
      <c r="D118" s="47"/>
      <c r="E118" s="47"/>
      <c r="F118" s="47"/>
      <c r="G118" s="47"/>
      <c r="H118" s="266"/>
      <c r="I118" s="47"/>
      <c r="J118" s="49"/>
      <c r="K118" s="47"/>
      <c r="L118" s="47"/>
    </row>
    <row r="119" spans="1:12" ht="21.9" customHeight="1">
      <c r="A119" s="46"/>
      <c r="B119" s="47"/>
      <c r="C119" s="48"/>
      <c r="D119" s="47"/>
      <c r="E119" s="47"/>
      <c r="F119" s="47"/>
      <c r="G119" s="47"/>
      <c r="H119" s="266"/>
      <c r="I119" s="47"/>
      <c r="J119" s="49"/>
      <c r="K119" s="47"/>
      <c r="L119" s="47"/>
    </row>
    <row r="120" spans="1:12" ht="21.9" customHeight="1">
      <c r="A120" s="46"/>
      <c r="B120" s="47"/>
      <c r="C120" s="48"/>
      <c r="D120" s="47"/>
      <c r="E120" s="47"/>
      <c r="F120" s="47"/>
      <c r="G120" s="47"/>
      <c r="H120" s="266"/>
      <c r="I120" s="47"/>
      <c r="J120" s="49"/>
      <c r="K120" s="47"/>
      <c r="L120" s="47"/>
    </row>
    <row r="121" spans="1:12" ht="21.9" customHeight="1">
      <c r="A121" s="46"/>
      <c r="B121" s="47"/>
      <c r="C121" s="48"/>
      <c r="D121" s="47"/>
      <c r="E121" s="47"/>
      <c r="F121" s="47"/>
      <c r="G121" s="47"/>
      <c r="H121" s="266"/>
      <c r="I121" s="47"/>
      <c r="J121" s="49"/>
      <c r="K121" s="47"/>
      <c r="L121" s="47"/>
    </row>
    <row r="122" spans="1:12" ht="21.9" customHeight="1">
      <c r="A122" s="46"/>
      <c r="B122" s="47"/>
      <c r="C122" s="48"/>
      <c r="D122" s="47"/>
      <c r="E122" s="47"/>
      <c r="F122" s="47"/>
      <c r="G122" s="47"/>
      <c r="H122" s="266"/>
      <c r="I122" s="47"/>
      <c r="J122" s="49"/>
      <c r="K122" s="47"/>
      <c r="L122" s="47"/>
    </row>
    <row r="123" spans="1:12" ht="21.9" customHeight="1">
      <c r="A123" s="46"/>
      <c r="B123" s="47"/>
      <c r="C123" s="48"/>
      <c r="D123" s="47"/>
      <c r="E123" s="47"/>
      <c r="F123" s="47"/>
      <c r="G123" s="47"/>
      <c r="H123" s="266"/>
      <c r="I123" s="47"/>
      <c r="J123" s="49"/>
      <c r="K123" s="47"/>
      <c r="L123" s="47"/>
    </row>
    <row r="124" spans="1:12" ht="21.9" customHeight="1">
      <c r="A124" s="46"/>
      <c r="B124" s="47"/>
      <c r="C124" s="48"/>
      <c r="D124" s="47"/>
      <c r="E124" s="47"/>
      <c r="F124" s="47"/>
      <c r="G124" s="47"/>
      <c r="H124" s="266"/>
      <c r="I124" s="47"/>
      <c r="J124" s="49"/>
      <c r="K124" s="47"/>
      <c r="L124" s="47"/>
    </row>
    <row r="125" spans="1:12" ht="21.9" customHeight="1">
      <c r="A125" s="46"/>
      <c r="B125" s="47"/>
      <c r="C125" s="48"/>
      <c r="D125" s="47"/>
      <c r="E125" s="47"/>
      <c r="F125" s="47"/>
      <c r="G125" s="47"/>
      <c r="H125" s="266"/>
      <c r="I125" s="47"/>
      <c r="J125" s="49"/>
      <c r="K125" s="47"/>
      <c r="L125" s="47"/>
    </row>
    <row r="126" spans="1:12" ht="21.9" customHeight="1">
      <c r="A126" s="46"/>
      <c r="B126" s="47"/>
      <c r="C126" s="48"/>
      <c r="D126" s="47"/>
      <c r="E126" s="47"/>
      <c r="F126" s="47"/>
      <c r="G126" s="47"/>
      <c r="H126" s="266"/>
      <c r="I126" s="47"/>
      <c r="J126" s="49"/>
      <c r="K126" s="47"/>
      <c r="L126" s="47"/>
    </row>
    <row r="127" spans="1:12" ht="21.9" customHeight="1">
      <c r="A127" s="46"/>
      <c r="B127" s="47"/>
      <c r="C127" s="48"/>
      <c r="D127" s="47"/>
      <c r="E127" s="47"/>
      <c r="F127" s="47"/>
      <c r="G127" s="47"/>
      <c r="H127" s="266"/>
      <c r="I127" s="47"/>
      <c r="J127" s="49"/>
      <c r="K127" s="47"/>
      <c r="L127" s="47"/>
    </row>
    <row r="128" spans="1:12" ht="21.9" customHeight="1">
      <c r="A128" s="46"/>
      <c r="B128" s="47"/>
      <c r="C128" s="48"/>
      <c r="D128" s="47"/>
      <c r="E128" s="47"/>
      <c r="F128" s="47"/>
      <c r="G128" s="47"/>
      <c r="H128" s="266"/>
      <c r="I128" s="47"/>
      <c r="J128" s="49"/>
      <c r="K128" s="47"/>
      <c r="L128" s="47"/>
    </row>
    <row r="129" spans="1:12" ht="21.9" customHeight="1">
      <c r="A129" s="46"/>
      <c r="B129" s="47"/>
      <c r="C129" s="48"/>
      <c r="D129" s="47"/>
      <c r="E129" s="47"/>
      <c r="F129" s="47"/>
      <c r="G129" s="47"/>
      <c r="H129" s="266"/>
      <c r="I129" s="47"/>
      <c r="J129" s="49"/>
      <c r="K129" s="47"/>
      <c r="L129" s="47"/>
    </row>
    <row r="130" spans="1:12" ht="21.9" customHeight="1">
      <c r="A130" s="46"/>
      <c r="B130" s="47"/>
      <c r="C130" s="48"/>
      <c r="D130" s="47"/>
      <c r="E130" s="47"/>
      <c r="F130" s="47"/>
      <c r="G130" s="47"/>
      <c r="H130" s="266"/>
      <c r="I130" s="47"/>
      <c r="J130" s="49"/>
      <c r="K130" s="47"/>
      <c r="L130" s="47"/>
    </row>
    <row r="131" spans="1:12" ht="21.9" customHeight="1">
      <c r="A131" s="46"/>
      <c r="B131" s="47"/>
      <c r="C131" s="48"/>
      <c r="D131" s="47"/>
      <c r="E131" s="47"/>
      <c r="F131" s="47"/>
      <c r="G131" s="47"/>
      <c r="H131" s="266"/>
      <c r="I131" s="47"/>
      <c r="J131" s="49"/>
      <c r="K131" s="47"/>
      <c r="L131" s="47"/>
    </row>
    <row r="132" spans="1:12" ht="21.9" customHeight="1">
      <c r="A132" s="46"/>
      <c r="B132" s="47"/>
      <c r="C132" s="48"/>
      <c r="D132" s="47"/>
      <c r="E132" s="47"/>
      <c r="F132" s="47"/>
      <c r="G132" s="47"/>
      <c r="H132" s="266"/>
      <c r="I132" s="47"/>
      <c r="J132" s="49"/>
      <c r="K132" s="47"/>
      <c r="L132" s="47"/>
    </row>
    <row r="133" spans="1:12" ht="21.9" customHeight="1">
      <c r="A133" s="46"/>
      <c r="B133" s="47"/>
      <c r="C133" s="48"/>
      <c r="D133" s="47"/>
      <c r="E133" s="47"/>
      <c r="F133" s="47"/>
      <c r="G133" s="47"/>
      <c r="H133" s="266"/>
      <c r="I133" s="47"/>
      <c r="J133" s="49"/>
      <c r="K133" s="47"/>
      <c r="L133" s="47"/>
    </row>
    <row r="134" spans="1:12" ht="21.9" customHeight="1">
      <c r="A134" s="46"/>
      <c r="B134" s="47"/>
      <c r="C134" s="48"/>
      <c r="D134" s="47"/>
      <c r="E134" s="47"/>
      <c r="F134" s="47"/>
      <c r="G134" s="47"/>
      <c r="H134" s="266"/>
      <c r="I134" s="47"/>
      <c r="J134" s="49"/>
      <c r="K134" s="47"/>
      <c r="L134" s="47"/>
    </row>
    <row r="135" spans="1:12" ht="36.6" customHeight="1">
      <c r="A135" s="46"/>
      <c r="B135" s="47"/>
      <c r="C135" s="48"/>
      <c r="D135" s="47"/>
      <c r="E135" s="47"/>
      <c r="F135" s="47"/>
      <c r="G135" s="47"/>
      <c r="H135" s="266"/>
      <c r="I135" s="47"/>
      <c r="J135" s="49"/>
      <c r="K135" s="47"/>
      <c r="L135" s="47"/>
    </row>
    <row r="136" spans="1:12" ht="21.9" customHeight="1">
      <c r="A136" s="46"/>
      <c r="B136" s="47"/>
      <c r="C136" s="48"/>
      <c r="D136" s="47"/>
      <c r="E136" s="47"/>
      <c r="F136" s="47"/>
      <c r="G136" s="47"/>
      <c r="H136" s="266"/>
      <c r="I136" s="47"/>
      <c r="J136" s="49"/>
      <c r="K136" s="47"/>
      <c r="L136" s="47"/>
    </row>
    <row r="137" spans="1:12" ht="21.9" customHeight="1">
      <c r="A137" s="46"/>
      <c r="B137" s="47"/>
      <c r="C137" s="48"/>
      <c r="D137" s="47"/>
      <c r="E137" s="47"/>
      <c r="F137" s="47"/>
      <c r="G137" s="47"/>
      <c r="H137" s="266"/>
      <c r="I137" s="47"/>
      <c r="J137" s="49"/>
      <c r="K137" s="47"/>
      <c r="L137" s="47"/>
    </row>
    <row r="138" spans="1:12" ht="21.9" customHeight="1">
      <c r="A138" s="46"/>
      <c r="B138" s="47"/>
      <c r="C138" s="48"/>
      <c r="D138" s="47"/>
      <c r="E138" s="47"/>
      <c r="F138" s="47"/>
      <c r="G138" s="47"/>
      <c r="H138" s="266"/>
      <c r="I138" s="47"/>
      <c r="J138" s="49"/>
      <c r="K138" s="47"/>
      <c r="L138" s="47"/>
    </row>
    <row r="139" spans="1:12" ht="21.9" customHeight="1">
      <c r="A139" s="46"/>
      <c r="B139" s="47"/>
      <c r="C139" s="48"/>
      <c r="D139" s="47"/>
      <c r="E139" s="47"/>
      <c r="F139" s="47"/>
      <c r="G139" s="47"/>
      <c r="H139" s="266"/>
      <c r="I139" s="47"/>
      <c r="J139" s="49"/>
      <c r="K139" s="47"/>
      <c r="L139" s="47"/>
    </row>
    <row r="140" spans="1:12" ht="21.9" customHeight="1">
      <c r="A140" s="46"/>
      <c r="B140" s="47"/>
      <c r="C140" s="48"/>
      <c r="D140" s="47"/>
      <c r="E140" s="47"/>
      <c r="F140" s="47"/>
      <c r="G140" s="47"/>
      <c r="H140" s="266"/>
      <c r="I140" s="47"/>
      <c r="J140" s="49"/>
      <c r="K140" s="47"/>
      <c r="L140" s="47"/>
    </row>
    <row r="141" spans="1:12" ht="21.9" customHeight="1">
      <c r="A141" s="46"/>
      <c r="B141" s="47"/>
      <c r="C141" s="48"/>
      <c r="D141" s="47"/>
      <c r="E141" s="47"/>
      <c r="F141" s="47"/>
      <c r="G141" s="47"/>
      <c r="H141" s="266"/>
      <c r="I141" s="47"/>
      <c r="J141" s="49"/>
      <c r="K141" s="47"/>
      <c r="L141" s="47"/>
    </row>
    <row r="142" spans="1:12" ht="42.6" customHeight="1">
      <c r="A142" s="46"/>
      <c r="B142" s="47"/>
      <c r="C142" s="48"/>
      <c r="D142" s="47"/>
      <c r="E142" s="47"/>
      <c r="F142" s="47"/>
      <c r="G142" s="47"/>
      <c r="H142" s="266"/>
      <c r="I142" s="47"/>
      <c r="J142" s="49"/>
      <c r="K142" s="47"/>
      <c r="L142" s="47"/>
    </row>
    <row r="143" spans="1:12" ht="21.9" customHeight="1">
      <c r="A143" s="46"/>
      <c r="B143" s="47"/>
      <c r="C143" s="48"/>
      <c r="D143" s="47"/>
      <c r="E143" s="47"/>
      <c r="F143" s="47"/>
      <c r="G143" s="47"/>
      <c r="H143" s="266"/>
      <c r="I143" s="47"/>
      <c r="J143" s="49"/>
      <c r="K143" s="47"/>
      <c r="L143" s="47"/>
    </row>
    <row r="144" spans="1:12" ht="21.9" customHeight="1">
      <c r="A144" s="46"/>
      <c r="B144" s="47"/>
      <c r="C144" s="48"/>
      <c r="D144" s="47"/>
      <c r="E144" s="47"/>
      <c r="F144" s="47"/>
      <c r="G144" s="47"/>
      <c r="H144" s="266"/>
      <c r="I144" s="47"/>
      <c r="J144" s="49"/>
      <c r="K144" s="47"/>
      <c r="L144" s="47"/>
    </row>
    <row r="145" spans="1:12" ht="21.9" customHeight="1">
      <c r="A145" s="46"/>
      <c r="B145" s="47"/>
      <c r="C145" s="48"/>
      <c r="D145" s="47"/>
      <c r="E145" s="47"/>
      <c r="F145" s="47"/>
      <c r="G145" s="47"/>
      <c r="H145" s="266"/>
      <c r="I145" s="47"/>
      <c r="J145" s="49"/>
      <c r="K145" s="47"/>
      <c r="L145" s="47"/>
    </row>
    <row r="146" spans="1:12" ht="21.9" customHeight="1">
      <c r="A146" s="46"/>
      <c r="B146" s="47"/>
      <c r="C146" s="48"/>
      <c r="D146" s="47"/>
      <c r="E146" s="47"/>
      <c r="F146" s="47"/>
      <c r="G146" s="47"/>
      <c r="H146" s="266"/>
      <c r="I146" s="47"/>
      <c r="J146" s="49"/>
      <c r="K146" s="47"/>
      <c r="L146" s="47"/>
    </row>
    <row r="147" spans="1:12" ht="21.9" customHeight="1">
      <c r="A147" s="46"/>
      <c r="B147" s="47"/>
      <c r="C147" s="48"/>
      <c r="D147" s="47"/>
      <c r="E147" s="47"/>
      <c r="F147" s="47"/>
      <c r="G147" s="47"/>
      <c r="H147" s="266"/>
      <c r="I147" s="47"/>
      <c r="J147" s="49"/>
      <c r="K147" s="47"/>
      <c r="L147" s="47"/>
    </row>
    <row r="148" spans="1:12" ht="21.9" customHeight="1">
      <c r="A148" s="46"/>
      <c r="B148" s="47"/>
      <c r="C148" s="48"/>
      <c r="D148" s="47"/>
      <c r="E148" s="47"/>
      <c r="F148" s="47"/>
      <c r="G148" s="47"/>
      <c r="H148" s="266"/>
      <c r="I148" s="47"/>
      <c r="J148" s="49"/>
      <c r="K148" s="47"/>
      <c r="L148" s="47"/>
    </row>
    <row r="149" spans="1:12" ht="39.6" customHeight="1">
      <c r="A149" s="46"/>
      <c r="B149" s="47"/>
      <c r="C149" s="48"/>
      <c r="D149" s="47"/>
      <c r="E149" s="47"/>
      <c r="F149" s="47"/>
      <c r="G149" s="47"/>
      <c r="H149" s="266"/>
      <c r="I149" s="47"/>
      <c r="J149" s="49"/>
      <c r="K149" s="47"/>
      <c r="L149" s="47"/>
    </row>
    <row r="150" spans="1:12" ht="21.9" customHeight="1">
      <c r="A150" s="46"/>
      <c r="B150" s="47"/>
      <c r="C150" s="48"/>
      <c r="D150" s="47"/>
      <c r="E150" s="47"/>
      <c r="F150" s="47"/>
      <c r="G150" s="47"/>
      <c r="H150" s="266"/>
      <c r="I150" s="47"/>
      <c r="J150" s="49"/>
      <c r="K150" s="47"/>
      <c r="L150" s="47"/>
    </row>
    <row r="151" spans="1:12" ht="21.9" customHeight="1">
      <c r="A151" s="46"/>
      <c r="B151" s="47"/>
      <c r="C151" s="48"/>
      <c r="D151" s="47"/>
      <c r="E151" s="47"/>
      <c r="F151" s="47"/>
      <c r="G151" s="47"/>
      <c r="H151" s="266"/>
      <c r="I151" s="47"/>
      <c r="J151" s="49"/>
      <c r="K151" s="47"/>
      <c r="L151" s="47"/>
    </row>
    <row r="152" spans="1:12" ht="21.9" customHeight="1">
      <c r="A152" s="46"/>
      <c r="B152" s="47"/>
      <c r="C152" s="48"/>
      <c r="D152" s="47"/>
      <c r="E152" s="47"/>
      <c r="F152" s="47"/>
      <c r="G152" s="47"/>
      <c r="H152" s="266"/>
      <c r="I152" s="47"/>
      <c r="J152" s="49"/>
      <c r="K152" s="47"/>
      <c r="L152" s="47"/>
    </row>
    <row r="153" spans="1:12" ht="21.9" customHeight="1">
      <c r="A153" s="46"/>
      <c r="B153" s="47"/>
      <c r="C153" s="48"/>
      <c r="D153" s="47"/>
      <c r="E153" s="47"/>
      <c r="F153" s="47"/>
      <c r="G153" s="47"/>
      <c r="H153" s="266"/>
      <c r="I153" s="47"/>
      <c r="J153" s="49"/>
      <c r="K153" s="47"/>
      <c r="L153" s="47"/>
    </row>
    <row r="154" spans="1:12" ht="21.9" customHeight="1">
      <c r="A154" s="46"/>
      <c r="B154" s="47"/>
      <c r="C154" s="48"/>
      <c r="D154" s="47"/>
      <c r="E154" s="47"/>
      <c r="F154" s="47"/>
      <c r="G154" s="47"/>
      <c r="H154" s="266"/>
      <c r="I154" s="47"/>
      <c r="J154" s="49"/>
      <c r="K154" s="47"/>
      <c r="L154" s="47"/>
    </row>
    <row r="155" spans="1:12" ht="21.9" customHeight="1">
      <c r="A155" s="46"/>
      <c r="B155" s="47"/>
      <c r="C155" s="48"/>
      <c r="D155" s="47"/>
      <c r="E155" s="47"/>
      <c r="F155" s="47"/>
      <c r="G155" s="47"/>
      <c r="H155" s="266"/>
      <c r="I155" s="47"/>
      <c r="J155" s="49"/>
      <c r="K155" s="47"/>
      <c r="L155" s="47"/>
    </row>
    <row r="156" spans="1:12" ht="21.9" customHeight="1">
      <c r="A156" s="46"/>
      <c r="B156" s="47"/>
      <c r="C156" s="48"/>
      <c r="D156" s="47"/>
      <c r="E156" s="47"/>
      <c r="F156" s="47"/>
      <c r="G156" s="47"/>
      <c r="H156" s="266"/>
      <c r="I156" s="47"/>
      <c r="J156" s="49"/>
      <c r="K156" s="47"/>
      <c r="L156" s="47"/>
    </row>
    <row r="157" spans="1:12" ht="21.9" customHeight="1">
      <c r="A157" s="46"/>
      <c r="B157" s="47"/>
      <c r="C157" s="48"/>
      <c r="D157" s="47"/>
      <c r="E157" s="47"/>
      <c r="F157" s="47"/>
      <c r="G157" s="47"/>
      <c r="H157" s="266"/>
      <c r="I157" s="47"/>
      <c r="J157" s="49"/>
      <c r="K157" s="47"/>
      <c r="L157" s="47"/>
    </row>
    <row r="158" spans="1:12" ht="21.9" customHeight="1">
      <c r="A158" s="46"/>
      <c r="B158" s="47"/>
      <c r="C158" s="48"/>
      <c r="D158" s="47"/>
      <c r="E158" s="47"/>
      <c r="F158" s="47"/>
      <c r="G158" s="47"/>
      <c r="H158" s="266"/>
      <c r="I158" s="47"/>
      <c r="J158" s="49"/>
      <c r="K158" s="47"/>
      <c r="L158" s="47"/>
    </row>
    <row r="159" spans="1:12" ht="21.9" customHeight="1">
      <c r="A159" s="46"/>
      <c r="B159" s="47"/>
      <c r="C159" s="48"/>
      <c r="D159" s="47"/>
      <c r="E159" s="47"/>
      <c r="F159" s="47"/>
      <c r="G159" s="47"/>
      <c r="H159" s="266"/>
      <c r="I159" s="47"/>
      <c r="J159" s="49"/>
      <c r="K159" s="47"/>
      <c r="L159" s="47"/>
    </row>
    <row r="160" spans="1:12" ht="21.9" customHeight="1">
      <c r="A160" s="46"/>
      <c r="B160" s="47"/>
      <c r="C160" s="48"/>
      <c r="D160" s="47"/>
      <c r="E160" s="47"/>
      <c r="F160" s="47"/>
      <c r="G160" s="47"/>
      <c r="H160" s="266"/>
      <c r="I160" s="47"/>
      <c r="J160" s="49"/>
      <c r="K160" s="47"/>
      <c r="L160" s="47"/>
    </row>
    <row r="161" spans="1:12" ht="21.9" customHeight="1">
      <c r="A161" s="46"/>
      <c r="B161" s="47"/>
      <c r="C161" s="48"/>
      <c r="D161" s="47"/>
      <c r="E161" s="47"/>
      <c r="F161" s="47"/>
      <c r="G161" s="47"/>
      <c r="H161" s="266"/>
      <c r="I161" s="47"/>
      <c r="J161" s="49"/>
      <c r="K161" s="47"/>
      <c r="L161" s="47"/>
    </row>
    <row r="162" spans="1:12" ht="21.9" customHeight="1">
      <c r="A162" s="46"/>
      <c r="B162" s="47"/>
      <c r="C162" s="48"/>
      <c r="D162" s="47"/>
      <c r="E162" s="47"/>
      <c r="F162" s="47"/>
      <c r="G162" s="47"/>
      <c r="H162" s="266"/>
      <c r="I162" s="47"/>
      <c r="J162" s="49"/>
      <c r="K162" s="47"/>
      <c r="L162" s="47"/>
    </row>
    <row r="163" spans="1:12" ht="21.9" customHeight="1">
      <c r="A163" s="46"/>
      <c r="B163" s="47"/>
      <c r="C163" s="48"/>
      <c r="D163" s="47"/>
      <c r="E163" s="47"/>
      <c r="F163" s="47"/>
      <c r="G163" s="47"/>
      <c r="H163" s="266"/>
      <c r="I163" s="47"/>
      <c r="J163" s="49"/>
      <c r="K163" s="47"/>
      <c r="L163" s="47"/>
    </row>
    <row r="164" spans="1:12" ht="21.9" customHeight="1">
      <c r="A164" s="46"/>
      <c r="B164" s="47"/>
      <c r="C164" s="48"/>
      <c r="D164" s="47"/>
      <c r="E164" s="47"/>
      <c r="F164" s="47"/>
      <c r="G164" s="47"/>
      <c r="H164" s="266"/>
      <c r="I164" s="47"/>
      <c r="J164" s="49"/>
      <c r="K164" s="47"/>
      <c r="L164" s="47"/>
    </row>
    <row r="165" spans="1:12" ht="21.9" customHeight="1">
      <c r="A165" s="46"/>
      <c r="B165" s="47"/>
      <c r="C165" s="48"/>
      <c r="D165" s="47"/>
      <c r="E165" s="47"/>
      <c r="F165" s="47"/>
      <c r="G165" s="47"/>
      <c r="H165" s="266"/>
      <c r="I165" s="47"/>
      <c r="J165" s="49"/>
      <c r="K165" s="47"/>
      <c r="L165" s="47"/>
    </row>
    <row r="166" spans="1:12" ht="21.9" customHeight="1">
      <c r="A166" s="46"/>
      <c r="B166" s="47"/>
      <c r="C166" s="48"/>
      <c r="D166" s="47"/>
      <c r="E166" s="47"/>
      <c r="F166" s="47"/>
      <c r="G166" s="47"/>
      <c r="H166" s="266"/>
      <c r="I166" s="47"/>
      <c r="J166" s="49"/>
      <c r="K166" s="47"/>
      <c r="L166" s="47"/>
    </row>
    <row r="167" spans="1:12" ht="21.9" customHeight="1">
      <c r="B167" s="44"/>
    </row>
    <row r="168" spans="1:12" ht="21.9" customHeight="1">
      <c r="B168" s="44"/>
    </row>
    <row r="169" spans="1:12" ht="21.9" customHeight="1">
      <c r="B169" s="44"/>
    </row>
    <row r="170" spans="1:12" ht="21.9" customHeight="1">
      <c r="B170" s="44"/>
    </row>
    <row r="171" spans="1:12" ht="21.9" customHeight="1">
      <c r="B171" s="44"/>
    </row>
    <row r="172" spans="1:12" ht="21.9" customHeight="1">
      <c r="B172" s="44"/>
    </row>
    <row r="173" spans="1:12" ht="21.9" customHeight="1">
      <c r="B173" s="44"/>
    </row>
    <row r="174" spans="1:12" ht="21.9" customHeight="1">
      <c r="B174" s="44"/>
    </row>
    <row r="175" spans="1:12" ht="21.9" customHeight="1">
      <c r="B175" s="44"/>
    </row>
    <row r="176" spans="1:12" ht="21.9" customHeight="1">
      <c r="B176" s="44"/>
    </row>
    <row r="177" spans="2:2" ht="21.9" customHeight="1">
      <c r="B177" s="44"/>
    </row>
    <row r="178" spans="2:2" ht="21.9" customHeight="1">
      <c r="B178" s="44"/>
    </row>
    <row r="179" spans="2:2" ht="21.9" customHeight="1">
      <c r="B179" s="44"/>
    </row>
    <row r="180" spans="2:2" ht="21.9" customHeight="1">
      <c r="B180" s="44"/>
    </row>
    <row r="181" spans="2:2" ht="21.9" customHeight="1">
      <c r="B181" s="44"/>
    </row>
    <row r="182" spans="2:2" ht="21.9" customHeight="1">
      <c r="B182" s="44"/>
    </row>
    <row r="183" spans="2:2" ht="21.9" customHeight="1">
      <c r="B183" s="44"/>
    </row>
    <row r="184" spans="2:2" ht="21.9" customHeight="1">
      <c r="B184" s="44"/>
    </row>
    <row r="185" spans="2:2" ht="21.9" customHeight="1">
      <c r="B185" s="44"/>
    </row>
    <row r="186" spans="2:2" ht="21.9" customHeight="1">
      <c r="B186" s="44"/>
    </row>
    <row r="187" spans="2:2" ht="21.9" customHeight="1">
      <c r="B187" s="44"/>
    </row>
    <row r="188" spans="2:2" ht="21.9" customHeight="1">
      <c r="B188" s="44"/>
    </row>
    <row r="189" spans="2:2" ht="21.9" customHeight="1">
      <c r="B189" s="44"/>
    </row>
    <row r="190" spans="2:2" ht="21.9" customHeight="1">
      <c r="B190" s="44"/>
    </row>
    <row r="191" spans="2:2" ht="21.9" customHeight="1">
      <c r="B191" s="44"/>
    </row>
    <row r="192" spans="2:2" ht="21.9" customHeight="1">
      <c r="B192" s="44"/>
    </row>
    <row r="193" spans="2:2" ht="21.9" customHeight="1">
      <c r="B193" s="44"/>
    </row>
    <row r="194" spans="2:2" ht="21.9" customHeight="1">
      <c r="B194" s="44"/>
    </row>
    <row r="195" spans="2:2" ht="21.9" customHeight="1">
      <c r="B195" s="44"/>
    </row>
    <row r="196" spans="2:2" ht="21.9" customHeight="1">
      <c r="B196" s="44"/>
    </row>
    <row r="197" spans="2:2" ht="21.9" customHeight="1">
      <c r="B197" s="44"/>
    </row>
    <row r="198" spans="2:2" ht="21.9" customHeight="1">
      <c r="B198" s="44"/>
    </row>
    <row r="199" spans="2:2" ht="21.9" customHeight="1">
      <c r="B199" s="44"/>
    </row>
    <row r="200" spans="2:2" ht="21.9" customHeight="1">
      <c r="B200" s="44"/>
    </row>
    <row r="201" spans="2:2" ht="21.9" customHeight="1">
      <c r="B201" s="44"/>
    </row>
    <row r="202" spans="2:2" ht="21.9" customHeight="1">
      <c r="B202" s="44"/>
    </row>
    <row r="203" spans="2:2" ht="21.9" customHeight="1">
      <c r="B203" s="44"/>
    </row>
    <row r="204" spans="2:2" ht="21.9" customHeight="1">
      <c r="B204" s="44"/>
    </row>
    <row r="205" spans="2:2" ht="21.9" customHeight="1">
      <c r="B205" s="44"/>
    </row>
    <row r="206" spans="2:2" ht="21.9" customHeight="1">
      <c r="B206" s="44"/>
    </row>
    <row r="207" spans="2:2" ht="21.9" customHeight="1">
      <c r="B207" s="44"/>
    </row>
    <row r="208" spans="2:2" ht="21.9" customHeight="1">
      <c r="B208" s="44"/>
    </row>
    <row r="209" spans="1:12" ht="21.9" customHeight="1">
      <c r="B209" s="44"/>
    </row>
    <row r="210" spans="1:12" ht="21.9" customHeight="1">
      <c r="B210" s="44"/>
    </row>
    <row r="211" spans="1:12" ht="21.9" customHeight="1">
      <c r="B211" s="44"/>
    </row>
    <row r="212" spans="1:12" ht="21.9" customHeight="1">
      <c r="B212" s="44"/>
    </row>
    <row r="213" spans="1:12" ht="21.9" customHeight="1">
      <c r="B213" s="44"/>
    </row>
    <row r="214" spans="1:12" ht="21.9" customHeight="1">
      <c r="A214" s="50"/>
      <c r="B214" s="19"/>
      <c r="D214" s="19"/>
      <c r="E214" s="19"/>
      <c r="F214" s="19"/>
      <c r="G214" s="19"/>
      <c r="H214" s="268"/>
      <c r="I214" s="19"/>
      <c r="J214" s="54"/>
      <c r="K214" s="19"/>
      <c r="L214" s="19"/>
    </row>
    <row r="215" spans="1:12" ht="21.9" customHeight="1">
      <c r="A215" s="50"/>
      <c r="B215" s="19"/>
      <c r="D215" s="19"/>
      <c r="E215" s="19"/>
      <c r="F215" s="19"/>
      <c r="G215" s="19"/>
      <c r="H215" s="268"/>
      <c r="I215" s="19"/>
      <c r="J215" s="54"/>
      <c r="K215" s="19"/>
      <c r="L215" s="19"/>
    </row>
    <row r="216" spans="1:12" ht="21.9" customHeight="1">
      <c r="A216" s="50"/>
      <c r="B216" s="19"/>
      <c r="D216" s="19"/>
      <c r="E216" s="19"/>
      <c r="F216" s="19"/>
      <c r="G216" s="19"/>
      <c r="H216" s="268"/>
      <c r="I216" s="19"/>
      <c r="J216" s="54"/>
      <c r="K216" s="19"/>
      <c r="L216" s="19"/>
    </row>
    <row r="217" spans="1:12" ht="21.9" customHeight="1">
      <c r="A217" s="50"/>
      <c r="B217" s="19"/>
      <c r="D217" s="19"/>
      <c r="E217" s="19"/>
      <c r="F217" s="19"/>
      <c r="G217" s="19"/>
      <c r="H217" s="268"/>
      <c r="I217" s="19"/>
      <c r="J217" s="54"/>
      <c r="K217" s="19"/>
      <c r="L217" s="19"/>
    </row>
    <row r="218" spans="1:12" ht="21.9" customHeight="1">
      <c r="A218" s="50"/>
      <c r="B218" s="19"/>
      <c r="D218" s="19"/>
      <c r="E218" s="19"/>
      <c r="F218" s="19"/>
      <c r="G218" s="19"/>
      <c r="H218" s="268"/>
      <c r="I218" s="19"/>
      <c r="J218" s="54"/>
      <c r="K218" s="19"/>
      <c r="L218" s="19"/>
    </row>
    <row r="219" spans="1:12" ht="21.9" customHeight="1">
      <c r="A219" s="50"/>
      <c r="B219" s="19"/>
      <c r="D219" s="19"/>
      <c r="E219" s="19"/>
      <c r="F219" s="19"/>
      <c r="G219" s="19"/>
      <c r="H219" s="268"/>
      <c r="I219" s="19"/>
      <c r="J219" s="54"/>
      <c r="K219" s="19"/>
      <c r="L219" s="19"/>
    </row>
    <row r="220" spans="1:12" ht="21.9" customHeight="1">
      <c r="A220" s="50"/>
      <c r="B220" s="19"/>
      <c r="D220" s="19"/>
      <c r="E220" s="19"/>
      <c r="F220" s="19"/>
      <c r="G220" s="19"/>
      <c r="H220" s="268"/>
      <c r="I220" s="19"/>
      <c r="J220" s="54"/>
      <c r="K220" s="19"/>
      <c r="L220" s="19"/>
    </row>
    <row r="221" spans="1:12" ht="21.9" customHeight="1">
      <c r="A221" s="50"/>
      <c r="B221" s="19"/>
      <c r="D221" s="19"/>
      <c r="E221" s="19"/>
      <c r="F221" s="19"/>
      <c r="G221" s="19"/>
      <c r="H221" s="268"/>
      <c r="I221" s="19"/>
      <c r="J221" s="54"/>
      <c r="K221" s="19"/>
      <c r="L221" s="19"/>
    </row>
    <row r="222" spans="1:12" ht="21.9" customHeight="1">
      <c r="A222" s="50"/>
      <c r="B222" s="19"/>
      <c r="D222" s="19"/>
      <c r="E222" s="19"/>
      <c r="F222" s="19"/>
      <c r="G222" s="19"/>
      <c r="H222" s="268"/>
      <c r="I222" s="19"/>
      <c r="J222" s="54"/>
      <c r="K222" s="19"/>
      <c r="L222" s="19"/>
    </row>
    <row r="223" spans="1:12" ht="21.9" customHeight="1">
      <c r="A223" s="50"/>
      <c r="B223" s="19"/>
      <c r="D223" s="19"/>
      <c r="E223" s="19"/>
      <c r="F223" s="19"/>
      <c r="G223" s="19"/>
      <c r="H223" s="268"/>
      <c r="I223" s="19"/>
      <c r="J223" s="54"/>
      <c r="K223" s="19"/>
      <c r="L223" s="19"/>
    </row>
    <row r="224" spans="1:12" ht="21.9" customHeight="1">
      <c r="A224" s="50"/>
      <c r="B224" s="19"/>
      <c r="D224" s="19"/>
      <c r="E224" s="19"/>
      <c r="F224" s="19"/>
      <c r="G224" s="19"/>
      <c r="H224" s="268"/>
      <c r="I224" s="19"/>
      <c r="J224" s="54"/>
      <c r="K224" s="19"/>
      <c r="L224" s="19"/>
    </row>
    <row r="225" spans="1:12" ht="21.9" customHeight="1">
      <c r="A225" s="50"/>
      <c r="B225" s="19"/>
      <c r="D225" s="19"/>
      <c r="E225" s="19"/>
      <c r="F225" s="19"/>
      <c r="G225" s="19"/>
      <c r="H225" s="268"/>
      <c r="I225" s="19"/>
      <c r="J225" s="54"/>
      <c r="K225" s="19"/>
      <c r="L225" s="19"/>
    </row>
    <row r="226" spans="1:12" ht="21.9" customHeight="1">
      <c r="A226" s="50"/>
      <c r="B226" s="19"/>
      <c r="D226" s="19"/>
      <c r="E226" s="19"/>
      <c r="F226" s="19"/>
      <c r="G226" s="19"/>
      <c r="H226" s="268"/>
      <c r="I226" s="19"/>
      <c r="J226" s="54"/>
      <c r="K226" s="19"/>
      <c r="L226" s="19"/>
    </row>
    <row r="227" spans="1:12" ht="21.9" customHeight="1">
      <c r="A227" s="50"/>
      <c r="B227" s="19"/>
      <c r="D227" s="19"/>
      <c r="E227" s="19"/>
      <c r="F227" s="19"/>
      <c r="G227" s="19"/>
      <c r="H227" s="268"/>
      <c r="I227" s="19"/>
      <c r="J227" s="54"/>
      <c r="K227" s="19"/>
      <c r="L227" s="19"/>
    </row>
    <row r="228" spans="1:12" ht="21.9" customHeight="1">
      <c r="A228" s="50"/>
      <c r="B228" s="19"/>
      <c r="D228" s="19"/>
      <c r="E228" s="19"/>
      <c r="F228" s="19"/>
      <c r="G228" s="19"/>
      <c r="H228" s="268"/>
      <c r="I228" s="19"/>
      <c r="J228" s="54"/>
      <c r="K228" s="19"/>
      <c r="L228" s="19"/>
    </row>
    <row r="229" spans="1:12" ht="21.9" customHeight="1">
      <c r="A229" s="50"/>
      <c r="B229" s="19"/>
      <c r="D229" s="19"/>
      <c r="E229" s="19"/>
      <c r="F229" s="19"/>
      <c r="G229" s="19"/>
      <c r="H229" s="268"/>
      <c r="I229" s="19"/>
      <c r="J229" s="54"/>
      <c r="K229" s="19"/>
      <c r="L229" s="19"/>
    </row>
    <row r="230" spans="1:12" ht="21.9" customHeight="1">
      <c r="A230" s="50"/>
      <c r="B230" s="19"/>
      <c r="D230" s="19"/>
      <c r="E230" s="19"/>
      <c r="F230" s="19"/>
      <c r="G230" s="19"/>
      <c r="H230" s="268"/>
      <c r="I230" s="19"/>
      <c r="J230" s="54"/>
      <c r="K230" s="19"/>
      <c r="L230" s="19"/>
    </row>
    <row r="231" spans="1:12" ht="21.9" customHeight="1">
      <c r="A231" s="50"/>
      <c r="B231" s="19"/>
      <c r="D231" s="19"/>
      <c r="E231" s="19"/>
      <c r="F231" s="19"/>
      <c r="G231" s="19"/>
      <c r="H231" s="268"/>
      <c r="I231" s="19"/>
      <c r="J231" s="54"/>
      <c r="K231" s="19"/>
      <c r="L231" s="19"/>
    </row>
    <row r="232" spans="1:12" ht="21.9" customHeight="1">
      <c r="A232" s="50"/>
      <c r="B232" s="19"/>
      <c r="D232" s="19"/>
      <c r="E232" s="19"/>
      <c r="F232" s="19"/>
      <c r="G232" s="19"/>
      <c r="H232" s="268"/>
      <c r="I232" s="19"/>
      <c r="J232" s="54"/>
      <c r="K232" s="19"/>
      <c r="L232" s="19"/>
    </row>
    <row r="233" spans="1:12" ht="21.9" customHeight="1">
      <c r="A233" s="50"/>
      <c r="B233" s="19"/>
      <c r="D233" s="19"/>
      <c r="E233" s="19"/>
      <c r="F233" s="19"/>
      <c r="G233" s="19"/>
      <c r="H233" s="268"/>
      <c r="I233" s="19"/>
      <c r="J233" s="54"/>
      <c r="K233" s="19"/>
      <c r="L233" s="19"/>
    </row>
    <row r="234" spans="1:12" ht="21.9" customHeight="1">
      <c r="A234" s="50"/>
      <c r="B234" s="19"/>
      <c r="D234" s="19"/>
      <c r="E234" s="19"/>
      <c r="F234" s="19"/>
      <c r="G234" s="19"/>
      <c r="H234" s="268"/>
      <c r="I234" s="19"/>
      <c r="J234" s="54"/>
      <c r="K234" s="19"/>
      <c r="L234" s="19"/>
    </row>
    <row r="235" spans="1:12" ht="21.9" customHeight="1">
      <c r="A235" s="50"/>
      <c r="B235" s="19"/>
      <c r="D235" s="19"/>
      <c r="E235" s="19"/>
      <c r="F235" s="19"/>
      <c r="G235" s="19"/>
      <c r="H235" s="268"/>
      <c r="I235" s="19"/>
      <c r="J235" s="54"/>
      <c r="K235" s="19"/>
      <c r="L235" s="19"/>
    </row>
    <row r="236" spans="1:12" ht="21.9" customHeight="1">
      <c r="A236" s="50"/>
      <c r="B236" s="19"/>
      <c r="D236" s="19"/>
      <c r="E236" s="19"/>
      <c r="F236" s="19"/>
      <c r="G236" s="19"/>
      <c r="H236" s="268"/>
      <c r="I236" s="19"/>
      <c r="J236" s="54"/>
      <c r="K236" s="19"/>
      <c r="L236" s="19"/>
    </row>
    <row r="237" spans="1:12" ht="21.9" customHeight="1">
      <c r="A237" s="50"/>
      <c r="B237" s="19"/>
      <c r="D237" s="19"/>
      <c r="E237" s="19"/>
      <c r="F237" s="19"/>
      <c r="G237" s="19"/>
      <c r="H237" s="268"/>
      <c r="I237" s="19"/>
      <c r="J237" s="54"/>
      <c r="K237" s="19"/>
      <c r="L237" s="19"/>
    </row>
    <row r="238" spans="1:12" ht="21.9" customHeight="1">
      <c r="A238" s="50"/>
      <c r="B238" s="19"/>
      <c r="D238" s="19"/>
      <c r="E238" s="19"/>
      <c r="F238" s="19"/>
      <c r="G238" s="19"/>
      <c r="H238" s="268"/>
      <c r="I238" s="19"/>
      <c r="J238" s="54"/>
      <c r="K238" s="19"/>
      <c r="L238" s="19"/>
    </row>
    <row r="239" spans="1:12" ht="21.9" customHeight="1">
      <c r="A239" s="50"/>
      <c r="B239" s="19"/>
      <c r="D239" s="19"/>
      <c r="E239" s="19"/>
      <c r="F239" s="19"/>
      <c r="G239" s="19"/>
      <c r="H239" s="268"/>
      <c r="I239" s="19"/>
      <c r="J239" s="54"/>
      <c r="K239" s="19"/>
      <c r="L239" s="19"/>
    </row>
    <row r="240" spans="1:12" ht="21.9" customHeight="1">
      <c r="A240" s="50"/>
      <c r="B240" s="19"/>
      <c r="D240" s="19"/>
      <c r="E240" s="19"/>
      <c r="F240" s="19"/>
      <c r="G240" s="19"/>
      <c r="H240" s="268"/>
      <c r="I240" s="19"/>
      <c r="J240" s="54"/>
      <c r="K240" s="19"/>
      <c r="L240" s="19"/>
    </row>
    <row r="241" spans="1:14" ht="21.9" customHeight="1">
      <c r="A241" s="50"/>
      <c r="B241" s="19"/>
      <c r="D241" s="19"/>
      <c r="E241" s="19"/>
      <c r="F241" s="19"/>
      <c r="G241" s="19"/>
      <c r="H241" s="268"/>
      <c r="I241" s="19"/>
      <c r="J241" s="54"/>
      <c r="K241" s="19"/>
      <c r="L241" s="19"/>
    </row>
    <row r="242" spans="1:14" ht="21.9" customHeight="1">
      <c r="A242" s="50"/>
      <c r="B242" s="19"/>
      <c r="D242" s="19"/>
      <c r="E242" s="19"/>
      <c r="F242" s="19"/>
      <c r="G242" s="19"/>
      <c r="H242" s="268"/>
      <c r="I242" s="19"/>
      <c r="J242" s="54"/>
      <c r="K242" s="19"/>
      <c r="L242" s="19"/>
    </row>
    <row r="243" spans="1:14" ht="21.9" customHeight="1">
      <c r="A243" s="50"/>
      <c r="B243" s="19"/>
      <c r="D243" s="19"/>
      <c r="E243" s="19"/>
      <c r="F243" s="19"/>
      <c r="G243" s="19"/>
      <c r="H243" s="268"/>
      <c r="I243" s="19"/>
      <c r="J243" s="54"/>
      <c r="K243" s="19"/>
      <c r="L243" s="19"/>
    </row>
    <row r="244" spans="1:14" ht="21.9" customHeight="1">
      <c r="A244" s="50"/>
      <c r="B244" s="19"/>
      <c r="D244" s="19"/>
      <c r="E244" s="19"/>
      <c r="F244" s="19"/>
      <c r="G244" s="19"/>
      <c r="H244" s="268"/>
      <c r="I244" s="19"/>
      <c r="J244" s="54"/>
      <c r="K244" s="19"/>
      <c r="L244" s="19"/>
    </row>
    <row r="245" spans="1:14" ht="21.9" customHeight="1">
      <c r="A245" s="50"/>
      <c r="B245" s="19"/>
      <c r="D245" s="19"/>
      <c r="E245" s="19"/>
      <c r="F245" s="19"/>
      <c r="G245" s="19"/>
      <c r="H245" s="268"/>
      <c r="I245" s="19"/>
      <c r="J245" s="54"/>
      <c r="K245" s="19"/>
      <c r="L245" s="19"/>
    </row>
    <row r="246" spans="1:14" ht="21.9" customHeight="1">
      <c r="A246" s="50"/>
      <c r="B246" s="19"/>
      <c r="D246" s="19"/>
      <c r="E246" s="19"/>
      <c r="F246" s="19"/>
      <c r="G246" s="19"/>
      <c r="H246" s="268"/>
      <c r="I246" s="19"/>
      <c r="J246" s="54"/>
      <c r="K246" s="19"/>
      <c r="L246" s="19"/>
    </row>
    <row r="247" spans="1:14" ht="21.9" customHeight="1">
      <c r="A247" s="50"/>
      <c r="B247" s="19"/>
      <c r="D247" s="19"/>
      <c r="E247" s="19"/>
      <c r="F247" s="19"/>
      <c r="G247" s="19"/>
      <c r="H247" s="268"/>
      <c r="I247" s="19"/>
      <c r="J247" s="54"/>
      <c r="K247" s="19"/>
      <c r="L247" s="19"/>
    </row>
    <row r="248" spans="1:14" ht="21.9" customHeight="1">
      <c r="A248" s="50"/>
      <c r="B248" s="19"/>
      <c r="D248" s="19"/>
      <c r="E248" s="19"/>
      <c r="F248" s="19"/>
      <c r="G248" s="19"/>
      <c r="H248" s="268"/>
      <c r="I248" s="19"/>
      <c r="J248" s="54"/>
      <c r="K248" s="19"/>
      <c r="L248" s="19"/>
    </row>
    <row r="249" spans="1:14" ht="21.9" customHeight="1">
      <c r="A249" s="50"/>
      <c r="B249" s="19"/>
      <c r="D249" s="19"/>
      <c r="E249" s="19"/>
      <c r="F249" s="19"/>
      <c r="G249" s="19"/>
      <c r="H249" s="268"/>
      <c r="I249" s="19"/>
      <c r="J249" s="54"/>
      <c r="K249" s="19"/>
      <c r="L249" s="19"/>
    </row>
    <row r="250" spans="1:14" ht="21.9" customHeight="1">
      <c r="A250" s="50"/>
      <c r="B250" s="19"/>
      <c r="D250" s="19"/>
      <c r="E250" s="19"/>
      <c r="F250" s="19"/>
      <c r="G250" s="19"/>
      <c r="H250" s="268"/>
      <c r="I250" s="19"/>
      <c r="J250" s="54"/>
      <c r="K250" s="19"/>
      <c r="L250" s="19"/>
    </row>
    <row r="251" spans="1:14" ht="21.9" customHeight="1">
      <c r="A251" s="50"/>
      <c r="B251" s="19"/>
      <c r="D251" s="19"/>
      <c r="E251" s="19"/>
      <c r="F251" s="19"/>
      <c r="G251" s="19"/>
      <c r="H251" s="268"/>
      <c r="I251" s="19"/>
      <c r="J251" s="54"/>
      <c r="K251" s="19"/>
      <c r="L251" s="19"/>
    </row>
    <row r="252" spans="1:14" ht="21.9" customHeight="1">
      <c r="A252" s="491"/>
      <c r="B252" s="52"/>
      <c r="C252" s="52"/>
      <c r="D252" s="52"/>
      <c r="E252" s="52"/>
      <c r="F252" s="52"/>
      <c r="G252" s="52"/>
      <c r="H252" s="256"/>
      <c r="I252" s="52"/>
      <c r="J252" s="55"/>
      <c r="K252" s="52"/>
      <c r="L252" s="52"/>
    </row>
    <row r="253" spans="1:14" ht="21.9" customHeight="1">
      <c r="A253" s="491"/>
      <c r="B253" s="52"/>
      <c r="C253" s="52"/>
      <c r="D253" s="52"/>
      <c r="E253" s="52"/>
      <c r="F253" s="52"/>
      <c r="G253" s="52"/>
      <c r="H253" s="256"/>
      <c r="I253" s="52"/>
      <c r="J253" s="55"/>
      <c r="K253" s="52"/>
      <c r="L253" s="52"/>
    </row>
    <row r="254" spans="1:14" s="3" customFormat="1" ht="21.9" customHeight="1">
      <c r="A254" s="491"/>
      <c r="B254" s="53" t="s">
        <v>100</v>
      </c>
      <c r="C254" s="53" t="s">
        <v>66</v>
      </c>
      <c r="D254" s="53"/>
      <c r="E254" s="53">
        <v>24</v>
      </c>
      <c r="F254" s="53"/>
      <c r="G254" s="53"/>
      <c r="H254" s="269"/>
      <c r="I254" s="53"/>
      <c r="J254" s="56"/>
      <c r="K254" s="53"/>
      <c r="L254" s="53"/>
      <c r="M254" s="68"/>
      <c r="N254" s="68"/>
    </row>
    <row r="255" spans="1:14" ht="21.9" customHeight="1">
      <c r="A255" s="50"/>
      <c r="B255" s="19"/>
      <c r="D255" s="19">
        <v>1</v>
      </c>
      <c r="E255" s="19"/>
      <c r="F255" s="19"/>
      <c r="G255" s="19"/>
      <c r="H255" s="268"/>
      <c r="I255" s="19"/>
      <c r="J255" s="54"/>
      <c r="K255" s="19"/>
      <c r="L255" s="19"/>
    </row>
    <row r="256" spans="1:14" ht="21.9" customHeight="1">
      <c r="A256" s="50"/>
      <c r="B256" s="19"/>
      <c r="D256" s="19"/>
      <c r="E256" s="19"/>
      <c r="F256" s="19"/>
      <c r="G256" s="19"/>
      <c r="H256" s="268"/>
      <c r="I256" s="19"/>
      <c r="J256" s="54"/>
      <c r="K256" s="19"/>
      <c r="L256" s="19"/>
    </row>
    <row r="257" spans="1:12" ht="21.9" customHeight="1">
      <c r="A257" s="50"/>
      <c r="B257" s="19" t="s">
        <v>101</v>
      </c>
      <c r="C257" s="19" t="s">
        <v>66</v>
      </c>
      <c r="D257" s="19"/>
      <c r="E257" s="19">
        <v>24</v>
      </c>
      <c r="F257" s="19"/>
      <c r="G257" s="19"/>
      <c r="H257" s="268"/>
      <c r="I257" s="19"/>
      <c r="J257" s="54"/>
      <c r="K257" s="19"/>
      <c r="L257" s="19"/>
    </row>
    <row r="258" spans="1:12" ht="21.9" customHeight="1">
      <c r="A258" s="50"/>
      <c r="B258" s="19"/>
      <c r="D258" s="19"/>
      <c r="E258" s="19"/>
      <c r="F258" s="19"/>
      <c r="G258" s="19"/>
      <c r="H258" s="268"/>
      <c r="I258" s="19"/>
      <c r="J258" s="54"/>
      <c r="K258" s="19"/>
      <c r="L258" s="19"/>
    </row>
    <row r="259" spans="1:12" ht="21.9" customHeight="1">
      <c r="A259" s="50"/>
      <c r="B259" s="19"/>
      <c r="D259" s="19"/>
      <c r="E259" s="19"/>
      <c r="F259" s="19"/>
      <c r="G259" s="19"/>
      <c r="H259" s="268"/>
      <c r="I259" s="19"/>
      <c r="J259" s="54"/>
      <c r="K259" s="19"/>
      <c r="L259" s="19"/>
    </row>
    <row r="260" spans="1:12" ht="21.9" customHeight="1">
      <c r="A260" s="491"/>
      <c r="B260" s="52"/>
      <c r="C260" s="52"/>
      <c r="D260" s="52"/>
      <c r="E260" s="52"/>
      <c r="F260" s="52"/>
      <c r="G260" s="52"/>
      <c r="H260" s="256"/>
      <c r="I260" s="52"/>
      <c r="J260" s="55"/>
      <c r="K260" s="52"/>
      <c r="L260" s="52"/>
    </row>
    <row r="261" spans="1:12" ht="21.9" customHeight="1">
      <c r="A261" s="491"/>
      <c r="B261" s="52"/>
      <c r="C261" s="52"/>
      <c r="D261" s="52"/>
      <c r="E261" s="52"/>
      <c r="F261" s="52"/>
      <c r="G261" s="52"/>
      <c r="H261" s="256"/>
      <c r="I261" s="52"/>
      <c r="J261" s="55"/>
      <c r="K261" s="52"/>
      <c r="L261" s="52"/>
    </row>
    <row r="262" spans="1:12" ht="21.9" customHeight="1">
      <c r="A262" s="50"/>
      <c r="B262" s="52"/>
      <c r="C262" s="52"/>
      <c r="D262" s="52"/>
      <c r="E262" s="52"/>
      <c r="F262" s="52"/>
      <c r="G262" s="52"/>
      <c r="H262" s="256"/>
      <c r="I262" s="52"/>
      <c r="J262" s="55"/>
      <c r="K262" s="52"/>
      <c r="L262" s="52"/>
    </row>
    <row r="263" spans="1:12" ht="21.9" customHeight="1">
      <c r="A263" s="50"/>
      <c r="B263" s="19"/>
      <c r="D263" s="19"/>
      <c r="E263" s="19"/>
      <c r="F263" s="19"/>
      <c r="G263" s="19"/>
      <c r="H263" s="268"/>
      <c r="I263" s="19"/>
      <c r="J263" s="54"/>
      <c r="K263" s="19"/>
      <c r="L263" s="19"/>
    </row>
    <row r="264" spans="1:12" ht="21.9" customHeight="1">
      <c r="A264" s="50"/>
      <c r="B264" s="19"/>
      <c r="D264" s="19"/>
      <c r="E264" s="19"/>
      <c r="F264" s="19"/>
      <c r="G264" s="19"/>
      <c r="H264" s="268"/>
      <c r="I264" s="19"/>
      <c r="J264" s="54"/>
      <c r="K264" s="19"/>
      <c r="L264" s="19"/>
    </row>
    <row r="265" spans="1:12" ht="21.9" customHeight="1">
      <c r="A265" s="50"/>
      <c r="B265" s="19"/>
      <c r="D265" s="19"/>
      <c r="E265" s="19"/>
      <c r="F265" s="19"/>
      <c r="G265" s="19"/>
      <c r="H265" s="268"/>
      <c r="I265" s="19"/>
      <c r="J265" s="54"/>
      <c r="K265" s="19"/>
      <c r="L265" s="19"/>
    </row>
    <row r="266" spans="1:12" ht="21.9" customHeight="1">
      <c r="A266" s="50"/>
      <c r="B266" s="19"/>
      <c r="D266" s="19"/>
      <c r="E266" s="19"/>
      <c r="F266" s="19"/>
      <c r="G266" s="19"/>
      <c r="H266" s="268"/>
      <c r="I266" s="19"/>
      <c r="J266" s="54"/>
      <c r="K266" s="19"/>
      <c r="L266" s="19"/>
    </row>
    <row r="267" spans="1:12" ht="21.9" customHeight="1">
      <c r="A267" s="50"/>
      <c r="B267" s="19"/>
      <c r="D267" s="19"/>
      <c r="E267" s="19"/>
      <c r="F267" s="19"/>
      <c r="G267" s="19"/>
      <c r="H267" s="268"/>
      <c r="I267" s="19"/>
      <c r="J267" s="54"/>
      <c r="K267" s="19"/>
      <c r="L267" s="19"/>
    </row>
    <row r="268" spans="1:12" ht="21.9" customHeight="1">
      <c r="A268" s="50"/>
      <c r="B268" s="19"/>
      <c r="D268" s="19"/>
      <c r="E268" s="19"/>
      <c r="F268" s="19"/>
      <c r="G268" s="19"/>
      <c r="H268" s="268"/>
      <c r="I268" s="19"/>
      <c r="J268" s="54"/>
      <c r="K268" s="19"/>
      <c r="L268" s="19"/>
    </row>
    <row r="269" spans="1:12" ht="21.9" customHeight="1">
      <c r="A269" s="50"/>
      <c r="B269" s="19"/>
      <c r="D269" s="19"/>
      <c r="E269" s="19"/>
      <c r="F269" s="19"/>
      <c r="G269" s="19"/>
      <c r="H269" s="268"/>
      <c r="I269" s="19"/>
      <c r="J269" s="54"/>
      <c r="K269" s="19"/>
      <c r="L269" s="19"/>
    </row>
    <row r="270" spans="1:12" ht="21.9" customHeight="1">
      <c r="A270" s="50"/>
      <c r="B270" s="19"/>
      <c r="D270" s="19"/>
      <c r="E270" s="19"/>
      <c r="F270" s="19"/>
      <c r="G270" s="19"/>
      <c r="H270" s="268"/>
      <c r="I270" s="19"/>
      <c r="J270" s="54"/>
      <c r="K270" s="19"/>
      <c r="L270" s="19"/>
    </row>
    <row r="271" spans="1:12" ht="21.9" customHeight="1">
      <c r="A271" s="50"/>
      <c r="B271" s="19"/>
      <c r="D271" s="19"/>
      <c r="E271" s="19"/>
      <c r="F271" s="19"/>
      <c r="G271" s="19"/>
      <c r="H271" s="268"/>
      <c r="I271" s="19"/>
      <c r="J271" s="54"/>
      <c r="K271" s="19"/>
      <c r="L271" s="19"/>
    </row>
    <row r="272" spans="1:12" ht="21.9" customHeight="1">
      <c r="A272" s="50"/>
      <c r="B272" s="19"/>
      <c r="D272" s="19"/>
      <c r="E272" s="19"/>
      <c r="F272" s="19"/>
      <c r="G272" s="19"/>
      <c r="H272" s="268"/>
      <c r="I272" s="19"/>
      <c r="J272" s="54"/>
      <c r="K272" s="19"/>
      <c r="L272" s="19"/>
    </row>
    <row r="273" spans="1:12" ht="21.9" customHeight="1">
      <c r="A273" s="50"/>
      <c r="B273" s="19"/>
      <c r="D273" s="19"/>
      <c r="E273" s="19"/>
      <c r="F273" s="19"/>
      <c r="G273" s="19"/>
      <c r="H273" s="268"/>
      <c r="I273" s="19"/>
      <c r="J273" s="54"/>
      <c r="K273" s="19"/>
      <c r="L273" s="19"/>
    </row>
    <row r="274" spans="1:12" ht="21.9" customHeight="1">
      <c r="A274" s="50"/>
      <c r="B274" s="19"/>
      <c r="D274" s="19"/>
      <c r="E274" s="19"/>
      <c r="F274" s="19"/>
      <c r="G274" s="19"/>
      <c r="H274" s="268"/>
      <c r="I274" s="19"/>
      <c r="J274" s="54"/>
      <c r="K274" s="19"/>
      <c r="L274" s="19"/>
    </row>
    <row r="275" spans="1:12" ht="21.9" customHeight="1">
      <c r="A275" s="50"/>
      <c r="B275" s="19"/>
      <c r="D275" s="19"/>
      <c r="E275" s="19"/>
      <c r="F275" s="19"/>
      <c r="G275" s="19"/>
      <c r="H275" s="268"/>
      <c r="I275" s="19"/>
      <c r="J275" s="54"/>
      <c r="K275" s="19"/>
      <c r="L275" s="19"/>
    </row>
    <row r="276" spans="1:12" ht="21.9" customHeight="1">
      <c r="A276" s="50"/>
      <c r="B276" s="19"/>
      <c r="D276" s="19"/>
      <c r="E276" s="19"/>
      <c r="F276" s="19"/>
      <c r="G276" s="19"/>
      <c r="H276" s="268"/>
      <c r="I276" s="19"/>
      <c r="J276" s="54"/>
      <c r="K276" s="19"/>
      <c r="L276" s="19"/>
    </row>
    <row r="277" spans="1:12" ht="21.9" customHeight="1">
      <c r="A277" s="50"/>
      <c r="B277" s="19"/>
      <c r="D277" s="19"/>
      <c r="E277" s="19"/>
      <c r="F277" s="19"/>
      <c r="G277" s="19"/>
      <c r="H277" s="268"/>
      <c r="I277" s="19"/>
      <c r="J277" s="54"/>
      <c r="K277" s="19"/>
      <c r="L277" s="19"/>
    </row>
    <row r="278" spans="1:12" ht="21.9" customHeight="1">
      <c r="A278" s="50"/>
      <c r="B278" s="19"/>
      <c r="D278" s="19"/>
      <c r="E278" s="19"/>
      <c r="F278" s="19"/>
      <c r="G278" s="19"/>
      <c r="H278" s="268"/>
      <c r="I278" s="19"/>
      <c r="J278" s="54"/>
      <c r="K278" s="19"/>
      <c r="L278" s="19"/>
    </row>
    <row r="279" spans="1:12" ht="21.9" customHeight="1">
      <c r="A279" s="50"/>
      <c r="B279" s="19"/>
      <c r="D279" s="19"/>
      <c r="E279" s="19"/>
      <c r="F279" s="19"/>
      <c r="G279" s="19"/>
      <c r="H279" s="268"/>
      <c r="I279" s="19"/>
      <c r="J279" s="54"/>
      <c r="K279" s="19"/>
      <c r="L279" s="19"/>
    </row>
    <row r="280" spans="1:12" ht="21.9" customHeight="1">
      <c r="A280" s="50"/>
      <c r="B280" s="19"/>
      <c r="D280" s="19"/>
      <c r="E280" s="19"/>
      <c r="F280" s="19"/>
      <c r="G280" s="19"/>
      <c r="H280" s="268"/>
      <c r="I280" s="19"/>
      <c r="J280" s="54"/>
      <c r="K280" s="19"/>
      <c r="L280" s="19"/>
    </row>
    <row r="281" spans="1:12" ht="21.9" customHeight="1">
      <c r="A281" s="50"/>
      <c r="B281" s="19"/>
      <c r="D281" s="19"/>
      <c r="E281" s="19"/>
      <c r="F281" s="19"/>
      <c r="G281" s="19"/>
      <c r="H281" s="268"/>
      <c r="I281" s="19"/>
      <c r="J281" s="54"/>
      <c r="K281" s="19"/>
      <c r="L281" s="19"/>
    </row>
    <row r="282" spans="1:12" ht="21.9" customHeight="1">
      <c r="A282" s="50"/>
      <c r="B282" s="19"/>
      <c r="D282" s="19"/>
      <c r="E282" s="19"/>
      <c r="F282" s="19"/>
      <c r="G282" s="19"/>
      <c r="H282" s="268"/>
      <c r="I282" s="19"/>
      <c r="J282" s="54"/>
      <c r="K282" s="19"/>
      <c r="L282" s="19"/>
    </row>
    <row r="283" spans="1:12" ht="21.9" customHeight="1">
      <c r="A283" s="50"/>
      <c r="B283" s="19"/>
      <c r="D283" s="19"/>
      <c r="E283" s="19"/>
      <c r="F283" s="19"/>
      <c r="G283" s="19"/>
      <c r="H283" s="268"/>
      <c r="I283" s="19"/>
      <c r="J283" s="54"/>
      <c r="K283" s="19"/>
      <c r="L283" s="19"/>
    </row>
    <row r="284" spans="1:12" ht="21.9" customHeight="1">
      <c r="A284" s="50"/>
      <c r="B284" s="19"/>
      <c r="D284" s="19"/>
      <c r="E284" s="19"/>
      <c r="F284" s="19"/>
      <c r="G284" s="19"/>
      <c r="H284" s="268"/>
      <c r="I284" s="19"/>
      <c r="J284" s="54"/>
      <c r="K284" s="19"/>
      <c r="L284" s="19"/>
    </row>
    <row r="285" spans="1:12" ht="21.9" customHeight="1">
      <c r="A285" s="50"/>
      <c r="B285" s="19"/>
      <c r="D285" s="19"/>
      <c r="E285" s="19"/>
      <c r="F285" s="19"/>
      <c r="G285" s="19"/>
      <c r="H285" s="268"/>
      <c r="I285" s="19"/>
      <c r="J285" s="54"/>
      <c r="K285" s="19"/>
      <c r="L285" s="19"/>
    </row>
    <row r="286" spans="1:12" ht="21.9" customHeight="1">
      <c r="A286" s="50"/>
      <c r="B286" s="19"/>
      <c r="D286" s="19"/>
      <c r="E286" s="19"/>
      <c r="F286" s="19"/>
      <c r="G286" s="19"/>
      <c r="H286" s="268"/>
      <c r="I286" s="19"/>
      <c r="J286" s="54"/>
      <c r="K286" s="19"/>
      <c r="L286" s="19"/>
    </row>
    <row r="287" spans="1:12" ht="21.9" customHeight="1">
      <c r="A287" s="50"/>
      <c r="B287" s="19"/>
      <c r="D287" s="19"/>
      <c r="E287" s="19"/>
      <c r="F287" s="19"/>
      <c r="G287" s="19"/>
      <c r="H287" s="268"/>
      <c r="I287" s="19"/>
      <c r="J287" s="54"/>
      <c r="K287" s="19"/>
      <c r="L287" s="19"/>
    </row>
    <row r="288" spans="1:12" ht="21.9" customHeight="1">
      <c r="A288" s="50"/>
      <c r="B288" s="19"/>
      <c r="D288" s="19"/>
      <c r="E288" s="19"/>
      <c r="F288" s="19"/>
      <c r="G288" s="19"/>
      <c r="H288" s="268"/>
      <c r="I288" s="19"/>
      <c r="J288" s="54"/>
      <c r="K288" s="19"/>
      <c r="L288" s="19"/>
    </row>
    <row r="289" spans="1:12" ht="21.9" customHeight="1">
      <c r="A289" s="50"/>
      <c r="B289" s="19"/>
      <c r="D289" s="19"/>
      <c r="E289" s="19"/>
      <c r="F289" s="19"/>
      <c r="G289" s="19"/>
      <c r="H289" s="268"/>
      <c r="I289" s="19"/>
      <c r="J289" s="54"/>
      <c r="K289" s="19"/>
      <c r="L289" s="19"/>
    </row>
    <row r="290" spans="1:12" ht="21.9" customHeight="1">
      <c r="A290" s="50"/>
      <c r="B290" s="19"/>
      <c r="D290" s="19"/>
      <c r="E290" s="19"/>
      <c r="F290" s="19"/>
      <c r="G290" s="19"/>
      <c r="H290" s="268"/>
      <c r="I290" s="19"/>
      <c r="J290" s="54"/>
      <c r="K290" s="19"/>
      <c r="L290" s="19"/>
    </row>
    <row r="291" spans="1:12" ht="21.9" customHeight="1">
      <c r="A291" s="50"/>
      <c r="B291" s="19"/>
      <c r="D291" s="19"/>
      <c r="E291" s="19"/>
      <c r="F291" s="19"/>
      <c r="G291" s="19"/>
      <c r="H291" s="268"/>
      <c r="I291" s="19"/>
      <c r="J291" s="54"/>
      <c r="K291" s="19"/>
      <c r="L291" s="19"/>
    </row>
    <row r="292" spans="1:12" ht="21.9" customHeight="1">
      <c r="A292" s="50"/>
      <c r="B292" s="19"/>
      <c r="D292" s="19"/>
      <c r="E292" s="19"/>
      <c r="F292" s="19"/>
      <c r="G292" s="19"/>
      <c r="H292" s="268"/>
      <c r="I292" s="19"/>
      <c r="J292" s="54"/>
      <c r="K292" s="19"/>
      <c r="L292" s="19"/>
    </row>
    <row r="293" spans="1:12" ht="21.9" customHeight="1">
      <c r="A293" s="50"/>
      <c r="B293" s="19"/>
      <c r="D293" s="19"/>
      <c r="E293" s="19"/>
      <c r="F293" s="19"/>
      <c r="G293" s="19"/>
      <c r="H293" s="268"/>
      <c r="I293" s="19"/>
      <c r="J293" s="54"/>
      <c r="K293" s="19"/>
      <c r="L293" s="19"/>
    </row>
    <row r="294" spans="1:12" ht="21.9" customHeight="1">
      <c r="A294" s="50"/>
      <c r="B294" s="19"/>
      <c r="D294" s="19"/>
      <c r="E294" s="19"/>
      <c r="F294" s="19"/>
      <c r="G294" s="19"/>
      <c r="H294" s="268"/>
      <c r="I294" s="19"/>
      <c r="J294" s="54"/>
      <c r="K294" s="19"/>
      <c r="L294" s="19"/>
    </row>
    <row r="295" spans="1:12" ht="21.9" customHeight="1">
      <c r="A295" s="50"/>
      <c r="B295" s="19"/>
      <c r="D295" s="19"/>
      <c r="E295" s="19"/>
      <c r="F295" s="19"/>
      <c r="G295" s="19"/>
      <c r="H295" s="268"/>
      <c r="I295" s="19"/>
      <c r="J295" s="54"/>
      <c r="K295" s="19"/>
      <c r="L295" s="19"/>
    </row>
    <row r="296" spans="1:12" ht="21.9" customHeight="1">
      <c r="A296" s="50"/>
      <c r="B296" s="19"/>
      <c r="D296" s="19"/>
      <c r="E296" s="19"/>
      <c r="F296" s="19"/>
      <c r="G296" s="19"/>
      <c r="H296" s="268"/>
      <c r="I296" s="19"/>
      <c r="J296" s="54"/>
      <c r="K296" s="19"/>
      <c r="L296" s="19"/>
    </row>
    <row r="297" spans="1:12" ht="21.9" customHeight="1">
      <c r="A297" s="50"/>
      <c r="B297" s="19"/>
      <c r="D297" s="19"/>
      <c r="E297" s="19"/>
      <c r="F297" s="19"/>
      <c r="G297" s="19"/>
      <c r="H297" s="268"/>
      <c r="I297" s="19"/>
      <c r="J297" s="54"/>
      <c r="K297" s="19"/>
      <c r="L297" s="19"/>
    </row>
    <row r="298" spans="1:12" ht="21.9" customHeight="1">
      <c r="A298" s="50"/>
      <c r="B298" s="19"/>
      <c r="D298" s="19"/>
      <c r="E298" s="19"/>
      <c r="F298" s="19"/>
      <c r="G298" s="19"/>
      <c r="H298" s="268"/>
      <c r="I298" s="19"/>
      <c r="J298" s="54"/>
      <c r="K298" s="19"/>
      <c r="L298" s="19"/>
    </row>
    <row r="299" spans="1:12" ht="21.9" customHeight="1">
      <c r="A299" s="50"/>
      <c r="B299" s="19"/>
      <c r="D299" s="19"/>
      <c r="E299" s="19"/>
      <c r="F299" s="19"/>
      <c r="G299" s="19"/>
      <c r="H299" s="268"/>
      <c r="I299" s="19"/>
      <c r="J299" s="54"/>
      <c r="K299" s="19"/>
      <c r="L299" s="19"/>
    </row>
    <row r="300" spans="1:12" ht="21.9" customHeight="1">
      <c r="A300" s="50"/>
      <c r="B300" s="19"/>
      <c r="D300" s="19"/>
      <c r="E300" s="19"/>
      <c r="F300" s="19"/>
      <c r="G300" s="19"/>
      <c r="H300" s="268"/>
      <c r="I300" s="19"/>
      <c r="J300" s="54"/>
      <c r="K300" s="19"/>
      <c r="L300" s="19"/>
    </row>
    <row r="301" spans="1:12" ht="21.9" customHeight="1">
      <c r="A301" s="50"/>
      <c r="B301" s="19"/>
      <c r="D301" s="19"/>
      <c r="E301" s="19"/>
      <c r="F301" s="19"/>
      <c r="G301" s="19"/>
      <c r="H301" s="268"/>
      <c r="I301" s="19"/>
      <c r="J301" s="54"/>
      <c r="K301" s="19"/>
      <c r="L301" s="19"/>
    </row>
    <row r="302" spans="1:12" ht="21.9" customHeight="1">
      <c r="A302" s="50"/>
      <c r="B302" s="19"/>
      <c r="D302" s="19"/>
      <c r="E302" s="19"/>
      <c r="F302" s="19"/>
      <c r="G302" s="19"/>
      <c r="H302" s="268"/>
      <c r="I302" s="19"/>
      <c r="J302" s="54"/>
      <c r="K302" s="19"/>
      <c r="L302" s="19"/>
    </row>
    <row r="303" spans="1:12" ht="21.9" customHeight="1">
      <c r="A303" s="50"/>
      <c r="B303" s="19"/>
      <c r="D303" s="19"/>
      <c r="E303" s="19"/>
      <c r="F303" s="19"/>
      <c r="G303" s="19"/>
      <c r="H303" s="268"/>
      <c r="I303" s="19"/>
      <c r="J303" s="54"/>
      <c r="K303" s="19"/>
      <c r="L303" s="19"/>
    </row>
    <row r="304" spans="1:12" ht="21.9" customHeight="1">
      <c r="A304" s="50"/>
      <c r="B304" s="19"/>
      <c r="D304" s="19"/>
      <c r="E304" s="19"/>
      <c r="F304" s="19"/>
      <c r="G304" s="19"/>
      <c r="H304" s="268"/>
      <c r="I304" s="19"/>
      <c r="J304" s="54"/>
      <c r="K304" s="19"/>
      <c r="L304" s="19"/>
    </row>
    <row r="305" spans="1:12" ht="21.9" customHeight="1">
      <c r="A305" s="50"/>
      <c r="B305" s="19"/>
      <c r="D305" s="19"/>
      <c r="E305" s="19"/>
      <c r="F305" s="19"/>
      <c r="G305" s="19"/>
      <c r="H305" s="268"/>
      <c r="I305" s="19"/>
      <c r="J305" s="54"/>
      <c r="K305" s="19"/>
      <c r="L305" s="19"/>
    </row>
    <row r="306" spans="1:12" ht="21.9" customHeight="1">
      <c r="A306" s="50"/>
      <c r="B306" s="19"/>
      <c r="D306" s="19"/>
      <c r="E306" s="19"/>
      <c r="F306" s="19"/>
      <c r="G306" s="19"/>
      <c r="H306" s="268"/>
      <c r="I306" s="19"/>
      <c r="J306" s="54"/>
      <c r="K306" s="19"/>
      <c r="L306" s="19"/>
    </row>
    <row r="307" spans="1:12" ht="21.9" customHeight="1">
      <c r="A307" s="50"/>
      <c r="B307" s="19"/>
      <c r="D307" s="19"/>
      <c r="E307" s="19"/>
      <c r="F307" s="19"/>
      <c r="G307" s="19"/>
      <c r="H307" s="268"/>
      <c r="I307" s="19"/>
      <c r="J307" s="54"/>
      <c r="K307" s="19"/>
      <c r="L307" s="19"/>
    </row>
    <row r="308" spans="1:12" ht="21.9" customHeight="1">
      <c r="A308" s="50"/>
      <c r="B308" s="19"/>
      <c r="D308" s="19"/>
      <c r="E308" s="19"/>
      <c r="F308" s="19"/>
      <c r="G308" s="19"/>
      <c r="H308" s="268"/>
      <c r="I308" s="19"/>
      <c r="J308" s="54"/>
      <c r="K308" s="19"/>
      <c r="L308" s="19"/>
    </row>
    <row r="309" spans="1:12" ht="21.9" customHeight="1">
      <c r="A309" s="50"/>
      <c r="B309" s="19"/>
      <c r="D309" s="19"/>
      <c r="E309" s="19"/>
      <c r="F309" s="19"/>
      <c r="G309" s="19"/>
      <c r="H309" s="268"/>
      <c r="I309" s="19"/>
      <c r="J309" s="54"/>
      <c r="K309" s="19"/>
      <c r="L309" s="19"/>
    </row>
    <row r="310" spans="1:12" ht="21.9" customHeight="1">
      <c r="A310" s="50"/>
      <c r="B310" s="19"/>
      <c r="D310" s="19"/>
      <c r="E310" s="19"/>
      <c r="F310" s="19"/>
      <c r="G310" s="19"/>
      <c r="H310" s="268"/>
      <c r="I310" s="19"/>
      <c r="J310" s="54"/>
      <c r="K310" s="19"/>
      <c r="L310" s="19"/>
    </row>
    <row r="311" spans="1:12" ht="21.9" customHeight="1">
      <c r="A311" s="50"/>
      <c r="B311" s="19"/>
      <c r="D311" s="19"/>
      <c r="E311" s="19"/>
      <c r="F311" s="19"/>
      <c r="G311" s="19"/>
      <c r="H311" s="268"/>
      <c r="I311" s="19"/>
      <c r="J311" s="54"/>
      <c r="K311" s="19"/>
      <c r="L311" s="19"/>
    </row>
    <row r="312" spans="1:12" ht="21.9" customHeight="1">
      <c r="A312" s="50"/>
      <c r="B312" s="19"/>
      <c r="D312" s="19"/>
      <c r="E312" s="19"/>
      <c r="F312" s="19"/>
      <c r="G312" s="19"/>
      <c r="H312" s="268"/>
      <c r="I312" s="19"/>
      <c r="J312" s="54"/>
      <c r="K312" s="19"/>
      <c r="L312" s="19"/>
    </row>
    <row r="313" spans="1:12" ht="21.9" customHeight="1">
      <c r="A313" s="50"/>
      <c r="B313" s="19"/>
      <c r="D313" s="19"/>
      <c r="E313" s="19"/>
      <c r="F313" s="19"/>
      <c r="G313" s="19"/>
      <c r="H313" s="268"/>
      <c r="I313" s="19"/>
      <c r="J313" s="54"/>
      <c r="K313" s="19"/>
      <c r="L313" s="19"/>
    </row>
    <row r="314" spans="1:12" ht="21.9" customHeight="1">
      <c r="A314" s="50"/>
      <c r="B314" s="19"/>
      <c r="D314" s="19"/>
      <c r="E314" s="19"/>
      <c r="F314" s="19"/>
      <c r="G314" s="19"/>
      <c r="H314" s="268"/>
      <c r="I314" s="19"/>
      <c r="J314" s="54"/>
      <c r="K314" s="19"/>
      <c r="L314" s="19"/>
    </row>
    <row r="315" spans="1:12" ht="21.9" customHeight="1">
      <c r="A315" s="50"/>
      <c r="B315" s="19"/>
      <c r="D315" s="19"/>
      <c r="E315" s="19"/>
      <c r="F315" s="19"/>
      <c r="G315" s="19"/>
      <c r="H315" s="268"/>
      <c r="I315" s="19"/>
      <c r="J315" s="54"/>
      <c r="K315" s="19"/>
      <c r="L315" s="19"/>
    </row>
    <row r="316" spans="1:12" ht="21.9" customHeight="1">
      <c r="A316" s="50"/>
      <c r="B316" s="19"/>
      <c r="D316" s="19"/>
      <c r="E316" s="19"/>
      <c r="F316" s="19"/>
      <c r="G316" s="19"/>
      <c r="H316" s="268"/>
      <c r="I316" s="19"/>
      <c r="J316" s="54"/>
      <c r="K316" s="19"/>
      <c r="L316" s="19"/>
    </row>
    <row r="317" spans="1:12" ht="21.9" customHeight="1">
      <c r="A317" s="50"/>
      <c r="B317" s="19"/>
      <c r="D317" s="19"/>
      <c r="E317" s="19"/>
      <c r="F317" s="19"/>
      <c r="G317" s="19"/>
      <c r="H317" s="268"/>
      <c r="I317" s="19"/>
      <c r="J317" s="54"/>
      <c r="K317" s="19"/>
      <c r="L317" s="19"/>
    </row>
    <row r="318" spans="1:12" ht="21.9" customHeight="1">
      <c r="A318" s="50"/>
      <c r="B318" s="19"/>
      <c r="D318" s="19"/>
      <c r="E318" s="19"/>
      <c r="F318" s="19"/>
      <c r="G318" s="19"/>
      <c r="H318" s="268"/>
      <c r="I318" s="19"/>
      <c r="J318" s="54"/>
      <c r="K318" s="19"/>
      <c r="L318" s="19"/>
    </row>
    <row r="319" spans="1:12" ht="21.9" customHeight="1">
      <c r="A319" s="50"/>
      <c r="B319" s="19"/>
      <c r="D319" s="19"/>
      <c r="E319" s="19"/>
      <c r="F319" s="19"/>
      <c r="G319" s="19"/>
      <c r="H319" s="268"/>
      <c r="I319" s="19"/>
      <c r="J319" s="54"/>
      <c r="K319" s="19"/>
      <c r="L319" s="19"/>
    </row>
    <row r="320" spans="1:12" ht="21.9" customHeight="1">
      <c r="A320" s="50"/>
      <c r="B320" s="19"/>
      <c r="D320" s="19"/>
      <c r="E320" s="19"/>
      <c r="F320" s="19"/>
      <c r="G320" s="19"/>
      <c r="H320" s="268"/>
      <c r="I320" s="19"/>
      <c r="J320" s="54"/>
      <c r="K320" s="19"/>
      <c r="L320" s="19"/>
    </row>
    <row r="321" spans="1:12" ht="21.9" customHeight="1">
      <c r="A321" s="50"/>
      <c r="B321" s="19"/>
      <c r="D321" s="19"/>
      <c r="E321" s="19"/>
      <c r="F321" s="19"/>
      <c r="G321" s="19"/>
      <c r="H321" s="268"/>
      <c r="I321" s="19"/>
      <c r="J321" s="54"/>
      <c r="K321" s="19"/>
      <c r="L321" s="19"/>
    </row>
    <row r="322" spans="1:12" ht="21.9" customHeight="1">
      <c r="A322" s="50"/>
      <c r="B322" s="19"/>
      <c r="D322" s="19"/>
      <c r="E322" s="19"/>
      <c r="F322" s="19"/>
      <c r="G322" s="19"/>
      <c r="H322" s="268"/>
      <c r="I322" s="19"/>
      <c r="J322" s="54"/>
      <c r="K322" s="19"/>
      <c r="L322" s="19"/>
    </row>
    <row r="323" spans="1:12" ht="21.9" customHeight="1">
      <c r="A323" s="50"/>
      <c r="B323" s="19"/>
      <c r="D323" s="19"/>
      <c r="E323" s="19"/>
      <c r="F323" s="19"/>
      <c r="G323" s="19"/>
      <c r="H323" s="268"/>
      <c r="I323" s="19"/>
      <c r="J323" s="54"/>
      <c r="K323" s="19"/>
      <c r="L323" s="19"/>
    </row>
    <row r="324" spans="1:12" ht="21.9" customHeight="1">
      <c r="A324" s="50"/>
      <c r="B324" s="19"/>
      <c r="D324" s="19"/>
      <c r="E324" s="19"/>
      <c r="F324" s="19"/>
      <c r="G324" s="19"/>
      <c r="H324" s="268"/>
      <c r="I324" s="19"/>
      <c r="J324" s="54"/>
      <c r="K324" s="19"/>
      <c r="L324" s="19"/>
    </row>
    <row r="325" spans="1:12" ht="21.9" customHeight="1">
      <c r="A325" s="50"/>
      <c r="B325" s="19"/>
      <c r="D325" s="19"/>
      <c r="E325" s="19"/>
      <c r="F325" s="19"/>
      <c r="G325" s="19"/>
      <c r="H325" s="268"/>
      <c r="I325" s="19"/>
      <c r="J325" s="54"/>
      <c r="K325" s="19"/>
      <c r="L325" s="19"/>
    </row>
    <row r="326" spans="1:12" ht="21.9" customHeight="1">
      <c r="A326" s="50"/>
      <c r="B326" s="19"/>
      <c r="D326" s="19"/>
      <c r="E326" s="19"/>
      <c r="F326" s="19"/>
      <c r="G326" s="19"/>
      <c r="H326" s="268"/>
      <c r="I326" s="19"/>
      <c r="J326" s="54"/>
      <c r="K326" s="19"/>
      <c r="L326" s="19"/>
    </row>
    <row r="327" spans="1:12" ht="21.9" customHeight="1">
      <c r="A327" s="50"/>
      <c r="B327" s="19"/>
      <c r="D327" s="19"/>
      <c r="E327" s="19"/>
      <c r="F327" s="19"/>
      <c r="G327" s="19"/>
      <c r="H327" s="268"/>
      <c r="I327" s="19"/>
      <c r="J327" s="54"/>
      <c r="K327" s="19"/>
      <c r="L327" s="19"/>
    </row>
    <row r="328" spans="1:12" ht="21.9" customHeight="1">
      <c r="A328" s="50"/>
      <c r="B328" s="19"/>
      <c r="D328" s="19"/>
      <c r="E328" s="19"/>
      <c r="F328" s="19"/>
      <c r="G328" s="19"/>
      <c r="H328" s="268"/>
      <c r="I328" s="19"/>
      <c r="J328" s="54"/>
      <c r="K328" s="19"/>
      <c r="L328" s="19"/>
    </row>
    <row r="329" spans="1:12" ht="21.9" customHeight="1">
      <c r="A329" s="50"/>
      <c r="B329" s="19"/>
      <c r="D329" s="19"/>
      <c r="E329" s="19"/>
      <c r="F329" s="19"/>
      <c r="G329" s="19"/>
      <c r="H329" s="268"/>
      <c r="I329" s="19"/>
      <c r="J329" s="54"/>
      <c r="K329" s="19"/>
      <c r="L329" s="19"/>
    </row>
    <row r="330" spans="1:12" ht="21.9" customHeight="1">
      <c r="A330" s="50"/>
      <c r="B330" s="19"/>
      <c r="D330" s="19"/>
      <c r="E330" s="19"/>
      <c r="F330" s="19"/>
      <c r="G330" s="19"/>
      <c r="H330" s="268"/>
      <c r="I330" s="19"/>
      <c r="J330" s="54"/>
      <c r="K330" s="19"/>
      <c r="L330" s="19"/>
    </row>
    <row r="331" spans="1:12" ht="21.9" customHeight="1">
      <c r="A331" s="50"/>
      <c r="B331" s="19"/>
      <c r="D331" s="19"/>
      <c r="E331" s="19"/>
      <c r="F331" s="19"/>
      <c r="G331" s="19"/>
      <c r="H331" s="268"/>
      <c r="I331" s="19"/>
      <c r="J331" s="54"/>
      <c r="K331" s="19"/>
      <c r="L331" s="19"/>
    </row>
    <row r="332" spans="1:12" ht="21.9" customHeight="1">
      <c r="A332" s="50"/>
      <c r="B332" s="19"/>
      <c r="D332" s="19"/>
      <c r="E332" s="19"/>
      <c r="F332" s="19"/>
      <c r="G332" s="19"/>
      <c r="H332" s="268"/>
      <c r="I332" s="19"/>
      <c r="J332" s="54"/>
      <c r="K332" s="19"/>
      <c r="L332" s="19"/>
    </row>
    <row r="333" spans="1:12" ht="21.9" customHeight="1">
      <c r="A333" s="50"/>
      <c r="B333" s="19"/>
      <c r="D333" s="19"/>
      <c r="E333" s="19"/>
      <c r="F333" s="19"/>
      <c r="G333" s="19"/>
      <c r="H333" s="268"/>
      <c r="I333" s="19"/>
      <c r="J333" s="54"/>
      <c r="K333" s="19"/>
      <c r="L333" s="19"/>
    </row>
    <row r="334" spans="1:12" ht="21.9" customHeight="1">
      <c r="A334" s="50"/>
      <c r="B334" s="19"/>
      <c r="D334" s="19"/>
      <c r="E334" s="19"/>
      <c r="F334" s="19"/>
      <c r="G334" s="19"/>
      <c r="H334" s="268"/>
      <c r="I334" s="19"/>
      <c r="J334" s="54"/>
      <c r="K334" s="19"/>
      <c r="L334" s="19"/>
    </row>
    <row r="335" spans="1:12" ht="21.9" customHeight="1">
      <c r="A335" s="50"/>
      <c r="B335" s="19"/>
      <c r="D335" s="19"/>
      <c r="E335" s="19"/>
      <c r="F335" s="19"/>
      <c r="G335" s="19"/>
      <c r="H335" s="268"/>
      <c r="I335" s="19"/>
      <c r="J335" s="54"/>
      <c r="K335" s="19"/>
      <c r="L335" s="19"/>
    </row>
    <row r="336" spans="1:12" ht="21.9" customHeight="1">
      <c r="A336" s="50"/>
      <c r="B336" s="19"/>
      <c r="D336" s="19"/>
      <c r="E336" s="19"/>
      <c r="F336" s="19"/>
      <c r="G336" s="19"/>
      <c r="H336" s="268"/>
      <c r="I336" s="19"/>
      <c r="J336" s="54"/>
      <c r="K336" s="19"/>
      <c r="L336" s="19"/>
    </row>
    <row r="337" spans="1:12" ht="21.9" customHeight="1">
      <c r="A337" s="50"/>
      <c r="B337" s="19"/>
      <c r="D337" s="19"/>
      <c r="E337" s="19"/>
      <c r="F337" s="19"/>
      <c r="G337" s="19"/>
      <c r="H337" s="268"/>
      <c r="I337" s="19"/>
      <c r="J337" s="54"/>
      <c r="K337" s="19"/>
      <c r="L337" s="19"/>
    </row>
    <row r="338" spans="1:12" ht="21.9" customHeight="1">
      <c r="A338" s="50"/>
      <c r="B338" s="19"/>
      <c r="D338" s="19"/>
      <c r="E338" s="19"/>
      <c r="F338" s="19"/>
      <c r="G338" s="19"/>
      <c r="H338" s="268"/>
      <c r="I338" s="19"/>
      <c r="J338" s="54"/>
      <c r="K338" s="19"/>
      <c r="L338" s="19"/>
    </row>
    <row r="339" spans="1:12" ht="21.9" customHeight="1">
      <c r="A339" s="50"/>
      <c r="B339" s="19"/>
      <c r="D339" s="19"/>
      <c r="E339" s="19"/>
      <c r="F339" s="19"/>
      <c r="G339" s="19"/>
      <c r="H339" s="268"/>
      <c r="I339" s="19"/>
      <c r="J339" s="54"/>
      <c r="K339" s="19"/>
      <c r="L339" s="19"/>
    </row>
    <row r="340" spans="1:12" ht="21.9" customHeight="1">
      <c r="A340" s="50"/>
      <c r="B340" s="19"/>
      <c r="D340" s="19"/>
      <c r="E340" s="19"/>
      <c r="F340" s="19"/>
      <c r="G340" s="19"/>
      <c r="H340" s="268"/>
      <c r="I340" s="19"/>
      <c r="J340" s="54"/>
      <c r="K340" s="19"/>
      <c r="L340" s="19"/>
    </row>
    <row r="341" spans="1:12" ht="21.9" customHeight="1">
      <c r="A341" s="50"/>
      <c r="B341" s="19"/>
      <c r="D341" s="19"/>
      <c r="E341" s="19"/>
      <c r="F341" s="19"/>
      <c r="G341" s="19"/>
      <c r="H341" s="268"/>
      <c r="I341" s="19"/>
      <c r="J341" s="54"/>
      <c r="K341" s="19"/>
      <c r="L341" s="19"/>
    </row>
    <row r="342" spans="1:12" ht="21.9" customHeight="1">
      <c r="A342" s="50"/>
      <c r="B342" s="19"/>
      <c r="D342" s="19"/>
      <c r="E342" s="19"/>
      <c r="F342" s="19"/>
      <c r="G342" s="19"/>
      <c r="H342" s="268"/>
      <c r="I342" s="19"/>
      <c r="J342" s="54"/>
      <c r="K342" s="19"/>
      <c r="L342" s="19"/>
    </row>
    <row r="343" spans="1:12" ht="21.9" customHeight="1">
      <c r="A343" s="50"/>
      <c r="B343" s="19"/>
      <c r="D343" s="19"/>
      <c r="E343" s="19"/>
      <c r="F343" s="19"/>
      <c r="G343" s="19"/>
      <c r="H343" s="268"/>
      <c r="I343" s="19"/>
      <c r="J343" s="54"/>
      <c r="K343" s="19"/>
      <c r="L343" s="19"/>
    </row>
    <row r="344" spans="1:12" ht="21.9" customHeight="1">
      <c r="A344" s="50"/>
      <c r="B344" s="19"/>
      <c r="D344" s="19"/>
      <c r="E344" s="19"/>
      <c r="F344" s="19"/>
      <c r="G344" s="19"/>
      <c r="H344" s="268"/>
      <c r="I344" s="19"/>
      <c r="J344" s="54"/>
      <c r="K344" s="19"/>
      <c r="L344" s="19"/>
    </row>
    <row r="345" spans="1:12" ht="21.9" customHeight="1">
      <c r="A345" s="50"/>
      <c r="B345" s="19"/>
      <c r="D345" s="19"/>
      <c r="E345" s="19"/>
      <c r="F345" s="19"/>
      <c r="G345" s="19"/>
      <c r="H345" s="268"/>
      <c r="I345" s="19"/>
      <c r="J345" s="54"/>
      <c r="K345" s="19"/>
      <c r="L345" s="19"/>
    </row>
    <row r="346" spans="1:12" ht="21.9" customHeight="1">
      <c r="A346" s="50"/>
      <c r="B346" s="19"/>
      <c r="D346" s="19"/>
      <c r="E346" s="19"/>
      <c r="F346" s="19"/>
      <c r="G346" s="19"/>
      <c r="H346" s="268"/>
      <c r="I346" s="19"/>
      <c r="J346" s="54"/>
      <c r="K346" s="19"/>
      <c r="L346" s="19"/>
    </row>
    <row r="347" spans="1:12" ht="21.9" customHeight="1">
      <c r="A347" s="50"/>
      <c r="B347" s="19"/>
      <c r="D347" s="19"/>
      <c r="E347" s="19"/>
      <c r="F347" s="19"/>
      <c r="G347" s="19"/>
      <c r="H347" s="268"/>
      <c r="I347" s="19"/>
      <c r="J347" s="54"/>
      <c r="K347" s="19"/>
      <c r="L347" s="19"/>
    </row>
    <row r="348" spans="1:12" ht="21.9" customHeight="1">
      <c r="A348" s="50"/>
      <c r="B348" s="19"/>
      <c r="D348" s="19"/>
      <c r="E348" s="19"/>
      <c r="F348" s="19"/>
      <c r="G348" s="19"/>
      <c r="H348" s="268"/>
      <c r="I348" s="19"/>
      <c r="J348" s="54"/>
      <c r="K348" s="19"/>
      <c r="L348" s="19"/>
    </row>
    <row r="349" spans="1:12" ht="21.9" customHeight="1">
      <c r="A349" s="50"/>
      <c r="B349" s="19"/>
      <c r="D349" s="19"/>
      <c r="E349" s="19"/>
      <c r="F349" s="19"/>
      <c r="G349" s="19"/>
      <c r="H349" s="268"/>
      <c r="I349" s="19"/>
      <c r="J349" s="54"/>
      <c r="K349" s="19"/>
      <c r="L349" s="19"/>
    </row>
    <row r="350" spans="1:12" ht="21.9" customHeight="1">
      <c r="A350" s="50"/>
      <c r="B350" s="19"/>
      <c r="D350" s="19"/>
      <c r="E350" s="19"/>
      <c r="F350" s="19"/>
      <c r="G350" s="19"/>
      <c r="H350" s="268"/>
      <c r="I350" s="19"/>
      <c r="J350" s="54"/>
      <c r="K350" s="19"/>
      <c r="L350" s="19"/>
    </row>
    <row r="351" spans="1:12" ht="21.9" customHeight="1">
      <c r="A351" s="50"/>
      <c r="B351" s="19"/>
      <c r="D351" s="19"/>
      <c r="E351" s="19"/>
      <c r="F351" s="19"/>
      <c r="G351" s="19"/>
      <c r="H351" s="268"/>
      <c r="I351" s="19"/>
      <c r="J351" s="54"/>
      <c r="K351" s="19"/>
      <c r="L351" s="19"/>
    </row>
    <row r="352" spans="1:12" ht="21.9" customHeight="1">
      <c r="A352" s="50"/>
      <c r="B352" s="19"/>
      <c r="D352" s="19"/>
      <c r="E352" s="19"/>
      <c r="F352" s="19"/>
      <c r="G352" s="19"/>
      <c r="H352" s="268"/>
      <c r="I352" s="19"/>
      <c r="J352" s="54"/>
      <c r="K352" s="19"/>
      <c r="L352" s="19"/>
    </row>
    <row r="353" spans="1:12" ht="21.9" customHeight="1">
      <c r="A353" s="50"/>
      <c r="B353" s="19"/>
      <c r="D353" s="19"/>
      <c r="E353" s="19"/>
      <c r="F353" s="19"/>
      <c r="G353" s="19"/>
      <c r="H353" s="268"/>
      <c r="I353" s="19"/>
      <c r="J353" s="54"/>
      <c r="K353" s="19"/>
      <c r="L353" s="19"/>
    </row>
    <row r="354" spans="1:12" ht="21.9" customHeight="1">
      <c r="A354" s="50"/>
      <c r="B354" s="19"/>
      <c r="D354" s="19"/>
      <c r="E354" s="19"/>
      <c r="F354" s="19"/>
      <c r="G354" s="19"/>
      <c r="H354" s="268"/>
      <c r="I354" s="19"/>
      <c r="J354" s="54"/>
      <c r="K354" s="19"/>
      <c r="L354" s="19"/>
    </row>
    <row r="355" spans="1:12" ht="21.9" customHeight="1">
      <c r="A355" s="50"/>
      <c r="B355" s="19"/>
      <c r="D355" s="19"/>
      <c r="E355" s="19"/>
      <c r="F355" s="19"/>
      <c r="G355" s="19"/>
      <c r="H355" s="268"/>
      <c r="I355" s="19"/>
      <c r="J355" s="54"/>
      <c r="K355" s="19"/>
      <c r="L355" s="19"/>
    </row>
    <row r="356" spans="1:12" ht="21.9" customHeight="1">
      <c r="A356" s="50"/>
      <c r="B356" s="19"/>
      <c r="D356" s="19"/>
      <c r="E356" s="19"/>
      <c r="F356" s="19"/>
      <c r="G356" s="19"/>
      <c r="H356" s="268"/>
      <c r="I356" s="19"/>
      <c r="J356" s="54"/>
      <c r="K356" s="19"/>
      <c r="L356" s="19"/>
    </row>
    <row r="357" spans="1:12" ht="21.9" customHeight="1">
      <c r="A357" s="50"/>
      <c r="B357" s="19"/>
      <c r="D357" s="19"/>
      <c r="E357" s="19"/>
      <c r="F357" s="19"/>
      <c r="G357" s="19"/>
      <c r="H357" s="268"/>
      <c r="I357" s="19"/>
      <c r="J357" s="54"/>
      <c r="K357" s="19"/>
      <c r="L357" s="19"/>
    </row>
    <row r="358" spans="1:12" ht="21.9" customHeight="1">
      <c r="A358" s="50"/>
      <c r="B358" s="19"/>
      <c r="D358" s="19"/>
      <c r="E358" s="19"/>
      <c r="F358" s="19"/>
      <c r="G358" s="19"/>
      <c r="H358" s="268"/>
      <c r="I358" s="19"/>
      <c r="J358" s="54"/>
      <c r="K358" s="19"/>
      <c r="L358" s="19"/>
    </row>
    <row r="359" spans="1:12" ht="21.9" customHeight="1">
      <c r="A359" s="50"/>
      <c r="B359" s="19"/>
      <c r="D359" s="19"/>
      <c r="E359" s="19"/>
      <c r="F359" s="19"/>
      <c r="G359" s="19"/>
      <c r="H359" s="268"/>
      <c r="I359" s="19"/>
      <c r="J359" s="54"/>
      <c r="K359" s="19"/>
      <c r="L359" s="19"/>
    </row>
    <row r="360" spans="1:12" ht="21.9" customHeight="1">
      <c r="A360" s="50"/>
      <c r="B360" s="19"/>
      <c r="D360" s="19"/>
      <c r="E360" s="19"/>
      <c r="F360" s="19"/>
      <c r="G360" s="19"/>
      <c r="H360" s="268"/>
      <c r="I360" s="19"/>
      <c r="J360" s="54"/>
      <c r="K360" s="19"/>
      <c r="L360" s="19"/>
    </row>
    <row r="361" spans="1:12" ht="21.9" customHeight="1">
      <c r="A361" s="50"/>
      <c r="B361" s="19"/>
      <c r="D361" s="19"/>
      <c r="E361" s="19"/>
      <c r="F361" s="19"/>
      <c r="G361" s="19"/>
      <c r="H361" s="268"/>
      <c r="I361" s="19"/>
      <c r="J361" s="54"/>
      <c r="K361" s="19"/>
      <c r="L361" s="19"/>
    </row>
    <row r="362" spans="1:12" ht="21.9" customHeight="1">
      <c r="A362" s="50"/>
      <c r="B362" s="19"/>
      <c r="D362" s="19"/>
      <c r="E362" s="19"/>
      <c r="F362" s="19"/>
      <c r="G362" s="19"/>
      <c r="H362" s="268"/>
      <c r="I362" s="19"/>
      <c r="J362" s="54"/>
      <c r="K362" s="19"/>
      <c r="L362" s="19"/>
    </row>
    <row r="363" spans="1:12" ht="21.9" customHeight="1">
      <c r="A363" s="50"/>
      <c r="B363" s="19"/>
      <c r="D363" s="19"/>
      <c r="E363" s="19"/>
      <c r="F363" s="19"/>
      <c r="G363" s="19"/>
      <c r="H363" s="268"/>
      <c r="I363" s="19"/>
      <c r="J363" s="54"/>
      <c r="K363" s="19"/>
      <c r="L363" s="19"/>
    </row>
    <row r="364" spans="1:12" ht="21.9" customHeight="1">
      <c r="A364" s="50"/>
      <c r="B364" s="19"/>
      <c r="D364" s="19"/>
      <c r="E364" s="19"/>
      <c r="F364" s="19"/>
      <c r="G364" s="19"/>
      <c r="H364" s="268"/>
      <c r="I364" s="19"/>
      <c r="J364" s="54"/>
      <c r="K364" s="19"/>
      <c r="L364" s="19"/>
    </row>
    <row r="365" spans="1:12" ht="21.9" customHeight="1">
      <c r="A365" s="50"/>
      <c r="B365" s="19"/>
      <c r="D365" s="19"/>
      <c r="E365" s="19"/>
      <c r="F365" s="19"/>
      <c r="G365" s="19"/>
      <c r="H365" s="268"/>
      <c r="I365" s="19"/>
      <c r="J365" s="54"/>
      <c r="K365" s="19"/>
      <c r="L365" s="19"/>
    </row>
    <row r="366" spans="1:12" ht="21.9" customHeight="1">
      <c r="A366" s="50"/>
      <c r="B366" s="19"/>
      <c r="D366" s="19"/>
      <c r="E366" s="19"/>
      <c r="F366" s="19"/>
      <c r="G366" s="19"/>
      <c r="H366" s="268"/>
      <c r="I366" s="19"/>
      <c r="J366" s="54"/>
      <c r="K366" s="19"/>
      <c r="L366" s="19"/>
    </row>
    <row r="367" spans="1:12" ht="21.9" customHeight="1">
      <c r="A367" s="50"/>
      <c r="B367" s="19"/>
      <c r="D367" s="19"/>
      <c r="E367" s="19"/>
      <c r="F367" s="19"/>
      <c r="G367" s="19"/>
      <c r="H367" s="268"/>
      <c r="I367" s="19"/>
      <c r="J367" s="54"/>
      <c r="K367" s="19"/>
      <c r="L367" s="19"/>
    </row>
    <row r="368" spans="1:12" ht="21.9" customHeight="1">
      <c r="A368" s="50"/>
      <c r="B368" s="19"/>
      <c r="D368" s="19"/>
      <c r="E368" s="19"/>
      <c r="F368" s="19"/>
      <c r="G368" s="19"/>
      <c r="H368" s="268"/>
      <c r="I368" s="19"/>
      <c r="J368" s="54"/>
      <c r="K368" s="19"/>
      <c r="L368" s="19"/>
    </row>
    <row r="369" spans="1:12" ht="21.9" customHeight="1">
      <c r="A369" s="50"/>
      <c r="B369" s="19"/>
      <c r="D369" s="19"/>
      <c r="E369" s="19"/>
      <c r="F369" s="19"/>
      <c r="G369" s="19"/>
      <c r="H369" s="268"/>
      <c r="I369" s="19"/>
      <c r="J369" s="54"/>
      <c r="K369" s="19"/>
      <c r="L369" s="19"/>
    </row>
    <row r="370" spans="1:12" ht="21.9" customHeight="1">
      <c r="A370" s="50"/>
      <c r="B370" s="19"/>
      <c r="D370" s="19"/>
      <c r="E370" s="19"/>
      <c r="F370" s="19"/>
      <c r="G370" s="19"/>
      <c r="H370" s="268"/>
      <c r="I370" s="19"/>
      <c r="J370" s="54"/>
      <c r="K370" s="19"/>
      <c r="L370" s="19"/>
    </row>
    <row r="371" spans="1:12" ht="21.9" customHeight="1">
      <c r="A371" s="50"/>
      <c r="B371" s="19"/>
      <c r="D371" s="19"/>
      <c r="E371" s="19"/>
      <c r="F371" s="19"/>
      <c r="G371" s="19"/>
      <c r="H371" s="268"/>
      <c r="I371" s="19"/>
      <c r="J371" s="54"/>
      <c r="K371" s="19"/>
      <c r="L371" s="19"/>
    </row>
    <row r="372" spans="1:12" ht="21.9" customHeight="1">
      <c r="A372" s="50"/>
      <c r="B372" s="19"/>
      <c r="D372" s="19"/>
      <c r="E372" s="19"/>
      <c r="F372" s="19"/>
      <c r="G372" s="19"/>
      <c r="H372" s="268"/>
      <c r="I372" s="19"/>
      <c r="J372" s="54"/>
      <c r="K372" s="19"/>
      <c r="L372" s="19"/>
    </row>
    <row r="373" spans="1:12" ht="21.9" customHeight="1">
      <c r="A373" s="50"/>
      <c r="B373" s="19"/>
      <c r="D373" s="19"/>
      <c r="E373" s="19"/>
      <c r="F373" s="19"/>
      <c r="G373" s="19"/>
      <c r="H373" s="268"/>
      <c r="I373" s="19"/>
      <c r="J373" s="54"/>
      <c r="K373" s="19"/>
      <c r="L373" s="19"/>
    </row>
    <row r="374" spans="1:12" ht="21.9" customHeight="1">
      <c r="A374" s="50"/>
      <c r="B374" s="19"/>
      <c r="D374" s="19"/>
      <c r="E374" s="19"/>
      <c r="F374" s="19"/>
      <c r="G374" s="19"/>
      <c r="H374" s="268"/>
      <c r="I374" s="19"/>
      <c r="J374" s="54"/>
      <c r="K374" s="19"/>
      <c r="L374" s="19"/>
    </row>
    <row r="375" spans="1:12" ht="21.9" customHeight="1">
      <c r="A375" s="50"/>
      <c r="B375" s="19"/>
      <c r="D375" s="19"/>
      <c r="E375" s="19"/>
      <c r="F375" s="19"/>
      <c r="G375" s="19"/>
      <c r="H375" s="268"/>
      <c r="I375" s="19"/>
      <c r="J375" s="54"/>
      <c r="K375" s="19"/>
      <c r="L375" s="19"/>
    </row>
    <row r="376" spans="1:12" ht="21.9" customHeight="1">
      <c r="A376" s="50"/>
      <c r="B376" s="19"/>
      <c r="D376" s="19"/>
      <c r="E376" s="19"/>
      <c r="F376" s="19"/>
      <c r="G376" s="19"/>
      <c r="H376" s="268"/>
      <c r="I376" s="19"/>
      <c r="J376" s="54"/>
      <c r="K376" s="19"/>
      <c r="L376" s="19"/>
    </row>
    <row r="377" spans="1:12" ht="21.9" customHeight="1">
      <c r="A377" s="50"/>
      <c r="B377" s="19"/>
      <c r="D377" s="19"/>
      <c r="E377" s="19"/>
      <c r="F377" s="19"/>
      <c r="G377" s="19"/>
      <c r="H377" s="268"/>
      <c r="I377" s="19"/>
      <c r="J377" s="54"/>
      <c r="K377" s="19"/>
      <c r="L377" s="19"/>
    </row>
    <row r="378" spans="1:12" ht="21.9" customHeight="1">
      <c r="A378" s="50"/>
      <c r="B378" s="19"/>
      <c r="D378" s="19"/>
      <c r="E378" s="19"/>
      <c r="F378" s="19"/>
      <c r="G378" s="19"/>
      <c r="H378" s="268"/>
      <c r="I378" s="19"/>
      <c r="J378" s="54"/>
      <c r="K378" s="19"/>
      <c r="L378" s="19"/>
    </row>
    <row r="379" spans="1:12" ht="21.9" customHeight="1">
      <c r="A379" s="50"/>
      <c r="B379" s="19"/>
      <c r="D379" s="19"/>
      <c r="E379" s="19"/>
      <c r="F379" s="19"/>
      <c r="G379" s="19"/>
      <c r="H379" s="268"/>
      <c r="I379" s="19"/>
      <c r="J379" s="54"/>
      <c r="K379" s="19"/>
      <c r="L379" s="19"/>
    </row>
    <row r="380" spans="1:12" ht="21.9" customHeight="1">
      <c r="A380" s="50"/>
      <c r="B380" s="19"/>
      <c r="D380" s="19"/>
      <c r="E380" s="19"/>
      <c r="F380" s="19"/>
      <c r="G380" s="19"/>
      <c r="H380" s="268"/>
      <c r="I380" s="19"/>
      <c r="J380" s="54"/>
      <c r="K380" s="19"/>
      <c r="L380" s="19"/>
    </row>
    <row r="381" spans="1:12" ht="21.9" customHeight="1">
      <c r="A381" s="50"/>
      <c r="B381" s="19"/>
      <c r="D381" s="19"/>
      <c r="E381" s="19"/>
      <c r="F381" s="19"/>
      <c r="G381" s="19"/>
      <c r="H381" s="268"/>
      <c r="I381" s="19"/>
      <c r="J381" s="54"/>
      <c r="K381" s="19"/>
      <c r="L381" s="19"/>
    </row>
    <row r="382" spans="1:12" ht="21.9" customHeight="1">
      <c r="A382" s="50"/>
      <c r="B382" s="19"/>
      <c r="D382" s="19"/>
      <c r="E382" s="19"/>
      <c r="F382" s="19"/>
      <c r="G382" s="19"/>
      <c r="H382" s="268"/>
      <c r="I382" s="19"/>
      <c r="J382" s="54"/>
      <c r="K382" s="19"/>
      <c r="L382" s="19"/>
    </row>
    <row r="383" spans="1:12" ht="21.9" customHeight="1">
      <c r="A383" s="50"/>
      <c r="B383" s="19"/>
      <c r="D383" s="19"/>
      <c r="E383" s="19"/>
      <c r="F383" s="19"/>
      <c r="G383" s="19"/>
      <c r="H383" s="268"/>
      <c r="I383" s="19"/>
      <c r="J383" s="54"/>
      <c r="K383" s="19"/>
      <c r="L383" s="19"/>
    </row>
    <row r="384" spans="1:12" ht="21.9" customHeight="1">
      <c r="A384" s="50"/>
      <c r="B384" s="19"/>
      <c r="D384" s="19"/>
      <c r="E384" s="19"/>
      <c r="F384" s="19"/>
      <c r="G384" s="19"/>
      <c r="H384" s="268"/>
      <c r="I384" s="19"/>
      <c r="J384" s="54"/>
      <c r="K384" s="19"/>
      <c r="L384" s="19"/>
    </row>
    <row r="385" spans="1:12">
      <c r="A385" s="50"/>
      <c r="B385" s="19"/>
      <c r="D385" s="19"/>
      <c r="E385" s="19"/>
      <c r="F385" s="19"/>
      <c r="G385" s="19"/>
      <c r="H385" s="268"/>
      <c r="I385" s="19"/>
      <c r="J385" s="54"/>
      <c r="K385" s="19"/>
      <c r="L385" s="19"/>
    </row>
    <row r="386" spans="1:12">
      <c r="A386" s="50"/>
      <c r="B386" s="19"/>
      <c r="D386" s="19"/>
      <c r="E386" s="19"/>
      <c r="F386" s="19"/>
      <c r="G386" s="19"/>
      <c r="H386" s="268"/>
      <c r="I386" s="19"/>
      <c r="J386" s="54"/>
      <c r="K386" s="19"/>
      <c r="L386" s="19"/>
    </row>
    <row r="387" spans="1:12">
      <c r="A387" s="50"/>
      <c r="B387" s="19"/>
      <c r="D387" s="19"/>
      <c r="E387" s="19"/>
      <c r="F387" s="19"/>
      <c r="G387" s="19"/>
      <c r="H387" s="268"/>
      <c r="I387" s="19"/>
      <c r="J387" s="54"/>
      <c r="K387" s="19"/>
      <c r="L387" s="19"/>
    </row>
    <row r="388" spans="1:12">
      <c r="A388" s="50"/>
      <c r="B388" s="19"/>
      <c r="D388" s="19"/>
      <c r="E388" s="19"/>
      <c r="F388" s="19"/>
      <c r="G388" s="19"/>
      <c r="H388" s="268"/>
      <c r="I388" s="19"/>
      <c r="J388" s="54"/>
      <c r="K388" s="19"/>
      <c r="L388" s="19"/>
    </row>
    <row r="389" spans="1:12">
      <c r="A389" s="50"/>
      <c r="B389" s="19"/>
      <c r="D389" s="19"/>
      <c r="E389" s="19"/>
      <c r="F389" s="19"/>
      <c r="G389" s="19"/>
      <c r="H389" s="268"/>
      <c r="I389" s="19"/>
      <c r="J389" s="54"/>
      <c r="K389" s="19"/>
      <c r="L389" s="19"/>
    </row>
    <row r="390" spans="1:12">
      <c r="A390" s="50"/>
      <c r="B390" s="19"/>
      <c r="D390" s="19"/>
      <c r="E390" s="19"/>
      <c r="F390" s="19"/>
      <c r="G390" s="19"/>
      <c r="H390" s="268"/>
      <c r="I390" s="19"/>
      <c r="J390" s="54"/>
      <c r="K390" s="19"/>
      <c r="L390" s="19"/>
    </row>
    <row r="391" spans="1:12">
      <c r="A391" s="50"/>
      <c r="B391" s="19"/>
      <c r="D391" s="19"/>
      <c r="E391" s="19"/>
      <c r="F391" s="19"/>
      <c r="G391" s="19"/>
      <c r="H391" s="268"/>
      <c r="I391" s="19"/>
      <c r="J391" s="54"/>
      <c r="K391" s="19"/>
      <c r="L391" s="19"/>
    </row>
    <row r="392" spans="1:12">
      <c r="A392" s="50"/>
      <c r="B392" s="19"/>
      <c r="D392" s="19"/>
      <c r="E392" s="19"/>
      <c r="F392" s="19"/>
      <c r="G392" s="19"/>
      <c r="H392" s="268"/>
      <c r="I392" s="19"/>
      <c r="J392" s="54"/>
      <c r="K392" s="19"/>
      <c r="L392" s="19"/>
    </row>
    <row r="393" spans="1:12">
      <c r="A393" s="50"/>
      <c r="B393" s="19"/>
      <c r="D393" s="19"/>
      <c r="E393" s="19"/>
      <c r="F393" s="19"/>
      <c r="G393" s="19"/>
      <c r="H393" s="268"/>
      <c r="I393" s="19"/>
      <c r="J393" s="54"/>
      <c r="K393" s="19"/>
      <c r="L393" s="19"/>
    </row>
    <row r="394" spans="1:12">
      <c r="A394" s="50"/>
      <c r="B394" s="19"/>
      <c r="D394" s="19"/>
      <c r="E394" s="19"/>
      <c r="F394" s="19"/>
      <c r="G394" s="19"/>
      <c r="H394" s="268"/>
      <c r="I394" s="19"/>
      <c r="J394" s="54"/>
      <c r="K394" s="19"/>
      <c r="L394" s="19"/>
    </row>
    <row r="395" spans="1:12">
      <c r="A395" s="50"/>
      <c r="B395" s="19"/>
      <c r="D395" s="19"/>
      <c r="E395" s="19"/>
      <c r="F395" s="19"/>
      <c r="G395" s="19"/>
      <c r="H395" s="268"/>
      <c r="I395" s="19"/>
      <c r="J395" s="54"/>
      <c r="K395" s="19"/>
      <c r="L395" s="19"/>
    </row>
    <row r="396" spans="1:12">
      <c r="A396" s="50"/>
      <c r="B396" s="19"/>
      <c r="D396" s="19"/>
      <c r="E396" s="19"/>
      <c r="F396" s="19"/>
      <c r="G396" s="19"/>
      <c r="H396" s="268"/>
      <c r="I396" s="19"/>
      <c r="J396" s="54"/>
      <c r="K396" s="19"/>
      <c r="L396" s="19"/>
    </row>
    <row r="397" spans="1:12">
      <c r="A397" s="50"/>
      <c r="B397" s="19"/>
      <c r="D397" s="19"/>
      <c r="E397" s="19"/>
      <c r="F397" s="19"/>
      <c r="G397" s="19"/>
      <c r="H397" s="268"/>
      <c r="I397" s="19"/>
      <c r="J397" s="54"/>
      <c r="K397" s="19"/>
      <c r="L397" s="19"/>
    </row>
    <row r="398" spans="1:12">
      <c r="A398" s="50"/>
      <c r="B398" s="19"/>
      <c r="D398" s="19"/>
      <c r="E398" s="19"/>
      <c r="F398" s="19"/>
      <c r="G398" s="19"/>
      <c r="H398" s="268"/>
      <c r="I398" s="19"/>
      <c r="J398" s="54"/>
      <c r="K398" s="19"/>
      <c r="L398" s="19"/>
    </row>
    <row r="399" spans="1:12">
      <c r="A399" s="50"/>
      <c r="B399" s="19"/>
      <c r="D399" s="19"/>
      <c r="E399" s="19"/>
      <c r="F399" s="19"/>
      <c r="G399" s="19"/>
      <c r="H399" s="268"/>
      <c r="I399" s="19"/>
      <c r="J399" s="54"/>
      <c r="K399" s="19"/>
      <c r="L399" s="19"/>
    </row>
    <row r="400" spans="1:12">
      <c r="A400" s="50"/>
      <c r="B400" s="19"/>
      <c r="D400" s="19"/>
      <c r="E400" s="19"/>
      <c r="F400" s="19"/>
      <c r="G400" s="19"/>
      <c r="H400" s="268"/>
      <c r="I400" s="19"/>
      <c r="J400" s="54"/>
      <c r="K400" s="19"/>
      <c r="L400" s="19"/>
    </row>
    <row r="401" spans="1:12">
      <c r="A401" s="50"/>
      <c r="B401" s="19"/>
      <c r="D401" s="19"/>
      <c r="E401" s="19"/>
      <c r="F401" s="19"/>
      <c r="G401" s="19"/>
      <c r="H401" s="268"/>
      <c r="I401" s="19"/>
      <c r="J401" s="54"/>
      <c r="K401" s="19"/>
      <c r="L401" s="19"/>
    </row>
    <row r="402" spans="1:12">
      <c r="A402" s="50"/>
      <c r="B402" s="19"/>
      <c r="D402" s="19"/>
      <c r="E402" s="19"/>
      <c r="F402" s="19"/>
      <c r="G402" s="19"/>
      <c r="H402" s="268"/>
      <c r="I402" s="19"/>
      <c r="J402" s="54"/>
      <c r="K402" s="19"/>
      <c r="L402" s="19"/>
    </row>
    <row r="403" spans="1:12">
      <c r="A403" s="50"/>
      <c r="B403" s="19"/>
      <c r="D403" s="19"/>
      <c r="E403" s="19"/>
      <c r="F403" s="19"/>
      <c r="G403" s="19"/>
      <c r="H403" s="268"/>
      <c r="I403" s="19"/>
      <c r="J403" s="54"/>
      <c r="K403" s="19"/>
      <c r="L403" s="19"/>
    </row>
    <row r="404" spans="1:12">
      <c r="A404" s="50"/>
      <c r="B404" s="19"/>
      <c r="D404" s="19"/>
      <c r="E404" s="19"/>
      <c r="F404" s="19"/>
      <c r="G404" s="19"/>
      <c r="H404" s="268"/>
      <c r="I404" s="19"/>
      <c r="J404" s="54"/>
      <c r="K404" s="19"/>
      <c r="L404" s="19"/>
    </row>
    <row r="405" spans="1:12">
      <c r="A405" s="50"/>
      <c r="B405" s="19"/>
      <c r="D405" s="19"/>
      <c r="E405" s="19"/>
      <c r="F405" s="19"/>
      <c r="G405" s="19"/>
      <c r="H405" s="268"/>
      <c r="I405" s="19"/>
      <c r="J405" s="54"/>
      <c r="K405" s="19"/>
      <c r="L405" s="19"/>
    </row>
    <row r="406" spans="1:12">
      <c r="A406" s="50"/>
      <c r="B406" s="19"/>
      <c r="D406" s="19"/>
      <c r="E406" s="19"/>
      <c r="F406" s="19"/>
      <c r="G406" s="19"/>
      <c r="H406" s="268"/>
      <c r="I406" s="19"/>
      <c r="J406" s="54"/>
      <c r="K406" s="19"/>
      <c r="L406" s="19"/>
    </row>
    <row r="407" spans="1:12">
      <c r="A407" s="50"/>
      <c r="B407" s="19"/>
      <c r="D407" s="19"/>
      <c r="E407" s="19"/>
      <c r="F407" s="19"/>
      <c r="G407" s="19"/>
      <c r="H407" s="268"/>
      <c r="I407" s="19"/>
      <c r="J407" s="54"/>
      <c r="K407" s="19"/>
      <c r="L407" s="19"/>
    </row>
    <row r="408" spans="1:12">
      <c r="A408" s="50"/>
      <c r="B408" s="19"/>
      <c r="D408" s="19"/>
      <c r="E408" s="19"/>
      <c r="F408" s="19"/>
      <c r="G408" s="19"/>
      <c r="H408" s="268"/>
      <c r="I408" s="19"/>
      <c r="J408" s="54"/>
      <c r="K408" s="19"/>
      <c r="L408" s="19"/>
    </row>
    <row r="409" spans="1:12">
      <c r="A409" s="50"/>
      <c r="B409" s="19"/>
      <c r="D409" s="19"/>
      <c r="E409" s="19"/>
      <c r="F409" s="19"/>
      <c r="G409" s="19"/>
      <c r="H409" s="268"/>
      <c r="I409" s="19"/>
      <c r="J409" s="54"/>
      <c r="K409" s="19"/>
      <c r="L409" s="19"/>
    </row>
    <row r="410" spans="1:12">
      <c r="A410" s="50"/>
      <c r="B410" s="19"/>
      <c r="D410" s="19"/>
      <c r="E410" s="19"/>
      <c r="F410" s="19"/>
      <c r="G410" s="19"/>
      <c r="H410" s="268"/>
      <c r="I410" s="19"/>
      <c r="J410" s="54"/>
      <c r="K410" s="19"/>
      <c r="L410" s="19"/>
    </row>
    <row r="411" spans="1:12">
      <c r="A411" s="50"/>
      <c r="B411" s="19"/>
      <c r="D411" s="19"/>
      <c r="E411" s="19"/>
      <c r="F411" s="19"/>
      <c r="G411" s="19"/>
      <c r="H411" s="268"/>
      <c r="I411" s="19"/>
      <c r="J411" s="54"/>
      <c r="K411" s="19"/>
      <c r="L411" s="19"/>
    </row>
    <row r="412" spans="1:12">
      <c r="A412" s="50"/>
      <c r="B412" s="19"/>
      <c r="D412" s="19"/>
      <c r="E412" s="19"/>
      <c r="F412" s="19"/>
      <c r="G412" s="19"/>
      <c r="H412" s="268"/>
      <c r="I412" s="19"/>
      <c r="J412" s="54"/>
      <c r="K412" s="19"/>
      <c r="L412" s="19"/>
    </row>
    <row r="413" spans="1:12">
      <c r="A413" s="50"/>
      <c r="B413" s="19"/>
      <c r="D413" s="19"/>
      <c r="E413" s="19"/>
      <c r="F413" s="19"/>
      <c r="G413" s="19"/>
      <c r="H413" s="268"/>
      <c r="I413" s="19"/>
      <c r="J413" s="54"/>
      <c r="K413" s="19"/>
      <c r="L413" s="19"/>
    </row>
    <row r="414" spans="1:12">
      <c r="A414" s="50"/>
      <c r="B414" s="19"/>
      <c r="D414" s="19"/>
      <c r="E414" s="19"/>
      <c r="F414" s="19"/>
      <c r="G414" s="19"/>
      <c r="H414" s="268"/>
      <c r="I414" s="19"/>
      <c r="J414" s="54"/>
      <c r="K414" s="19"/>
      <c r="L414" s="19"/>
    </row>
    <row r="415" spans="1:12">
      <c r="A415" s="50"/>
      <c r="B415" s="19"/>
      <c r="D415" s="19"/>
      <c r="E415" s="19"/>
      <c r="F415" s="19"/>
      <c r="G415" s="19"/>
      <c r="H415" s="268"/>
      <c r="I415" s="19"/>
      <c r="J415" s="54"/>
      <c r="K415" s="19"/>
      <c r="L415" s="19"/>
    </row>
    <row r="416" spans="1:12">
      <c r="A416" s="50"/>
      <c r="B416" s="19"/>
      <c r="D416" s="19"/>
      <c r="E416" s="19"/>
      <c r="F416" s="19"/>
      <c r="G416" s="19"/>
      <c r="H416" s="268"/>
      <c r="I416" s="19"/>
      <c r="J416" s="54"/>
      <c r="K416" s="19"/>
      <c r="L416" s="19"/>
    </row>
    <row r="417" spans="1:12">
      <c r="A417" s="50"/>
      <c r="B417" s="19"/>
      <c r="D417" s="19"/>
      <c r="E417" s="19"/>
      <c r="F417" s="19"/>
      <c r="G417" s="19"/>
      <c r="H417" s="268"/>
      <c r="I417" s="19"/>
      <c r="J417" s="54"/>
      <c r="K417" s="19"/>
      <c r="L417" s="19"/>
    </row>
    <row r="418" spans="1:12">
      <c r="A418" s="50"/>
      <c r="B418" s="19"/>
      <c r="D418" s="19"/>
      <c r="E418" s="19"/>
      <c r="F418" s="19"/>
      <c r="G418" s="19"/>
      <c r="H418" s="268"/>
      <c r="I418" s="19"/>
      <c r="J418" s="54"/>
      <c r="K418" s="19"/>
      <c r="L418" s="19"/>
    </row>
    <row r="419" spans="1:12">
      <c r="A419" s="50"/>
      <c r="B419" s="19"/>
      <c r="D419" s="19"/>
      <c r="E419" s="19"/>
      <c r="F419" s="19"/>
      <c r="G419" s="19"/>
      <c r="H419" s="268"/>
      <c r="I419" s="19"/>
      <c r="J419" s="54"/>
      <c r="K419" s="19"/>
      <c r="L419" s="19"/>
    </row>
    <row r="420" spans="1:12">
      <c r="A420" s="50"/>
      <c r="B420" s="19"/>
      <c r="D420" s="19"/>
      <c r="E420" s="19"/>
      <c r="F420" s="19"/>
      <c r="G420" s="19"/>
      <c r="H420" s="268"/>
      <c r="I420" s="19"/>
      <c r="J420" s="54"/>
      <c r="K420" s="19"/>
      <c r="L420" s="19"/>
    </row>
    <row r="421" spans="1:12">
      <c r="A421" s="50"/>
      <c r="B421" s="19"/>
      <c r="D421" s="19"/>
      <c r="E421" s="19"/>
      <c r="F421" s="19"/>
      <c r="G421" s="19"/>
      <c r="H421" s="268"/>
      <c r="I421" s="19"/>
      <c r="J421" s="54"/>
      <c r="K421" s="19"/>
      <c r="L421" s="19"/>
    </row>
    <row r="422" spans="1:12">
      <c r="A422" s="50"/>
      <c r="B422" s="19"/>
      <c r="D422" s="19"/>
      <c r="E422" s="19"/>
      <c r="F422" s="19"/>
      <c r="G422" s="19"/>
      <c r="H422" s="268"/>
      <c r="I422" s="19"/>
      <c r="J422" s="54"/>
      <c r="K422" s="19"/>
      <c r="L422" s="19"/>
    </row>
    <row r="423" spans="1:12">
      <c r="A423" s="50"/>
      <c r="B423" s="19"/>
      <c r="D423" s="19"/>
      <c r="E423" s="19"/>
      <c r="F423" s="19"/>
      <c r="G423" s="19"/>
      <c r="H423" s="268"/>
      <c r="I423" s="19"/>
      <c r="J423" s="54"/>
      <c r="K423" s="19"/>
      <c r="L423" s="19"/>
    </row>
    <row r="424" spans="1:12">
      <c r="A424" s="50"/>
      <c r="B424" s="19"/>
      <c r="D424" s="19"/>
      <c r="E424" s="19"/>
      <c r="F424" s="19"/>
      <c r="G424" s="19"/>
      <c r="H424" s="268"/>
      <c r="I424" s="19"/>
      <c r="J424" s="54"/>
      <c r="K424" s="19"/>
      <c r="L424" s="19"/>
    </row>
    <row r="425" spans="1:12">
      <c r="A425" s="50"/>
      <c r="B425" s="19"/>
      <c r="D425" s="19"/>
      <c r="E425" s="19"/>
      <c r="F425" s="19"/>
      <c r="G425" s="19"/>
      <c r="H425" s="268"/>
      <c r="I425" s="19"/>
      <c r="J425" s="54"/>
      <c r="K425" s="19"/>
      <c r="L425" s="19"/>
    </row>
    <row r="426" spans="1:12">
      <c r="A426" s="50"/>
      <c r="B426" s="19"/>
      <c r="D426" s="19"/>
      <c r="E426" s="19"/>
      <c r="F426" s="19"/>
      <c r="G426" s="19"/>
      <c r="H426" s="268"/>
      <c r="I426" s="19"/>
      <c r="J426" s="54"/>
      <c r="K426" s="19"/>
      <c r="L426" s="19"/>
    </row>
    <row r="427" spans="1:12">
      <c r="A427" s="50"/>
      <c r="B427" s="19"/>
      <c r="D427" s="19"/>
      <c r="E427" s="19"/>
      <c r="F427" s="19"/>
      <c r="G427" s="19"/>
      <c r="H427" s="268"/>
      <c r="I427" s="19"/>
      <c r="J427" s="54"/>
      <c r="K427" s="19"/>
      <c r="L427" s="19"/>
    </row>
    <row r="428" spans="1:12">
      <c r="A428" s="50"/>
      <c r="B428" s="19"/>
      <c r="D428" s="19"/>
      <c r="E428" s="19"/>
      <c r="F428" s="19"/>
      <c r="G428" s="19"/>
      <c r="H428" s="268"/>
      <c r="I428" s="19"/>
      <c r="J428" s="54"/>
      <c r="K428" s="19"/>
      <c r="L428" s="19"/>
    </row>
    <row r="429" spans="1:12">
      <c r="A429" s="50"/>
      <c r="B429" s="19"/>
      <c r="D429" s="19"/>
      <c r="E429" s="19"/>
      <c r="F429" s="19"/>
      <c r="G429" s="19"/>
      <c r="H429" s="268"/>
      <c r="I429" s="19"/>
      <c r="J429" s="54"/>
      <c r="K429" s="19"/>
      <c r="L429" s="19"/>
    </row>
    <row r="430" spans="1:12">
      <c r="A430" s="50"/>
      <c r="B430" s="19"/>
      <c r="D430" s="19"/>
      <c r="E430" s="19"/>
      <c r="F430" s="19"/>
      <c r="G430" s="19"/>
      <c r="H430" s="268"/>
      <c r="I430" s="19"/>
      <c r="J430" s="54"/>
      <c r="K430" s="19"/>
      <c r="L430" s="19"/>
    </row>
    <row r="431" spans="1:12">
      <c r="A431" s="50"/>
      <c r="B431" s="19"/>
      <c r="D431" s="19"/>
      <c r="E431" s="19"/>
      <c r="F431" s="19"/>
      <c r="G431" s="19"/>
      <c r="H431" s="268"/>
      <c r="I431" s="19"/>
      <c r="J431" s="54"/>
      <c r="K431" s="19"/>
      <c r="L431" s="19"/>
    </row>
    <row r="432" spans="1:12">
      <c r="A432" s="50"/>
      <c r="B432" s="19"/>
      <c r="D432" s="19"/>
      <c r="E432" s="19"/>
      <c r="F432" s="19"/>
      <c r="G432" s="19"/>
      <c r="H432" s="268"/>
      <c r="I432" s="19"/>
      <c r="J432" s="54"/>
      <c r="K432" s="19"/>
      <c r="L432" s="19"/>
    </row>
    <row r="433" spans="1:12">
      <c r="A433" s="50"/>
      <c r="B433" s="19"/>
      <c r="D433" s="19"/>
      <c r="E433" s="19"/>
      <c r="F433" s="19"/>
      <c r="G433" s="19"/>
      <c r="H433" s="268"/>
      <c r="I433" s="19"/>
      <c r="J433" s="54"/>
      <c r="K433" s="19"/>
      <c r="L433" s="19"/>
    </row>
    <row r="434" spans="1:12">
      <c r="A434" s="50"/>
      <c r="B434" s="19"/>
      <c r="D434" s="19"/>
      <c r="E434" s="19"/>
      <c r="F434" s="19"/>
      <c r="G434" s="19"/>
      <c r="H434" s="268"/>
      <c r="I434" s="19"/>
      <c r="J434" s="54"/>
      <c r="K434" s="19"/>
      <c r="L434" s="19"/>
    </row>
    <row r="435" spans="1:12">
      <c r="A435" s="50"/>
      <c r="B435" s="19"/>
      <c r="D435" s="19"/>
      <c r="E435" s="19"/>
      <c r="F435" s="19"/>
      <c r="G435" s="19"/>
      <c r="H435" s="268"/>
      <c r="I435" s="19"/>
      <c r="J435" s="54"/>
      <c r="K435" s="19"/>
      <c r="L435" s="19"/>
    </row>
    <row r="436" spans="1:12">
      <c r="A436" s="50"/>
      <c r="B436" s="19"/>
      <c r="D436" s="19"/>
      <c r="E436" s="19"/>
      <c r="F436" s="19"/>
      <c r="G436" s="19"/>
      <c r="H436" s="268"/>
      <c r="I436" s="19"/>
      <c r="J436" s="54"/>
      <c r="K436" s="19"/>
      <c r="L436" s="19"/>
    </row>
    <row r="437" spans="1:12">
      <c r="A437" s="50"/>
      <c r="B437" s="19"/>
      <c r="D437" s="19"/>
      <c r="E437" s="19"/>
      <c r="F437" s="19"/>
      <c r="G437" s="19"/>
      <c r="H437" s="268"/>
      <c r="I437" s="19"/>
      <c r="J437" s="54"/>
      <c r="K437" s="19"/>
      <c r="L437" s="19"/>
    </row>
    <row r="438" spans="1:12">
      <c r="A438" s="50"/>
      <c r="B438" s="19"/>
      <c r="D438" s="19"/>
      <c r="E438" s="19"/>
      <c r="F438" s="19"/>
      <c r="G438" s="19"/>
      <c r="H438" s="268"/>
      <c r="I438" s="19"/>
      <c r="J438" s="54"/>
      <c r="K438" s="19"/>
      <c r="L438" s="19"/>
    </row>
    <row r="439" spans="1:12">
      <c r="A439" s="50"/>
      <c r="B439" s="19" t="s">
        <v>162</v>
      </c>
      <c r="D439" s="19"/>
      <c r="E439" s="19"/>
      <c r="F439" s="19"/>
      <c r="G439" s="19"/>
      <c r="H439" s="268"/>
      <c r="I439" s="19"/>
      <c r="J439" s="54"/>
      <c r="K439" s="19"/>
      <c r="L439" s="19"/>
    </row>
    <row r="440" spans="1:12">
      <c r="A440" s="50"/>
      <c r="B440" s="19"/>
      <c r="D440" s="19"/>
      <c r="E440" s="19"/>
      <c r="F440" s="19"/>
      <c r="G440" s="19"/>
      <c r="H440" s="268"/>
      <c r="I440" s="19"/>
      <c r="J440" s="54"/>
      <c r="K440" s="19"/>
      <c r="L440" s="19"/>
    </row>
    <row r="441" spans="1:12">
      <c r="A441" s="50"/>
      <c r="B441" s="19"/>
      <c r="D441" s="19"/>
      <c r="E441" s="19"/>
      <c r="F441" s="19"/>
      <c r="G441" s="19"/>
      <c r="H441" s="268"/>
      <c r="I441" s="19"/>
      <c r="J441" s="54"/>
      <c r="K441" s="19"/>
      <c r="L441" s="19"/>
    </row>
    <row r="442" spans="1:12">
      <c r="A442" s="50"/>
      <c r="B442" s="19"/>
      <c r="D442" s="19"/>
      <c r="E442" s="19"/>
      <c r="F442" s="19"/>
      <c r="G442" s="19"/>
      <c r="H442" s="268"/>
      <c r="I442" s="19"/>
      <c r="J442" s="54"/>
      <c r="K442" s="19"/>
      <c r="L442" s="19"/>
    </row>
    <row r="443" spans="1:12">
      <c r="A443" s="50"/>
      <c r="B443" s="19"/>
      <c r="D443" s="19"/>
      <c r="E443" s="19"/>
      <c r="F443" s="19"/>
      <c r="G443" s="19"/>
      <c r="H443" s="268"/>
      <c r="I443" s="19"/>
      <c r="J443" s="54"/>
      <c r="K443" s="19"/>
      <c r="L443" s="19"/>
    </row>
    <row r="444" spans="1:12">
      <c r="A444" s="50"/>
      <c r="B444" s="19"/>
      <c r="D444" s="19"/>
      <c r="E444" s="19"/>
      <c r="F444" s="19"/>
      <c r="G444" s="19"/>
      <c r="H444" s="268"/>
      <c r="I444" s="19"/>
      <c r="J444" s="54"/>
      <c r="K444" s="19"/>
      <c r="L444" s="19"/>
    </row>
    <row r="445" spans="1:12">
      <c r="A445" s="50"/>
      <c r="B445" s="19"/>
      <c r="D445" s="19"/>
      <c r="E445" s="19"/>
      <c r="F445" s="19"/>
      <c r="G445" s="19"/>
      <c r="H445" s="268"/>
      <c r="I445" s="19"/>
      <c r="J445" s="54"/>
      <c r="K445" s="19"/>
      <c r="L445" s="19"/>
    </row>
    <row r="446" spans="1:12">
      <c r="A446" s="50"/>
      <c r="B446" s="19"/>
      <c r="D446" s="19"/>
      <c r="E446" s="19"/>
      <c r="F446" s="19"/>
      <c r="G446" s="19"/>
      <c r="H446" s="268"/>
      <c r="I446" s="19"/>
      <c r="J446" s="54"/>
      <c r="K446" s="19"/>
      <c r="L446" s="19"/>
    </row>
    <row r="447" spans="1:12">
      <c r="A447" s="50"/>
      <c r="B447" s="19"/>
      <c r="D447" s="19"/>
      <c r="E447" s="19"/>
      <c r="F447" s="19"/>
      <c r="G447" s="19"/>
      <c r="H447" s="268"/>
      <c r="I447" s="19"/>
      <c r="J447" s="54"/>
      <c r="K447" s="19"/>
      <c r="L447" s="19"/>
    </row>
    <row r="448" spans="1:12">
      <c r="A448" s="50"/>
      <c r="B448" s="19"/>
      <c r="D448" s="19"/>
      <c r="E448" s="19"/>
      <c r="F448" s="19"/>
      <c r="G448" s="19"/>
      <c r="H448" s="268"/>
      <c r="I448" s="19"/>
      <c r="J448" s="54"/>
      <c r="K448" s="19"/>
      <c r="L448" s="19"/>
    </row>
    <row r="449" spans="1:12">
      <c r="A449" s="50"/>
      <c r="B449" s="19"/>
      <c r="D449" s="19"/>
      <c r="E449" s="19"/>
      <c r="F449" s="19"/>
      <c r="G449" s="19"/>
      <c r="H449" s="268"/>
      <c r="I449" s="19"/>
      <c r="J449" s="54"/>
      <c r="K449" s="19"/>
      <c r="L449" s="19"/>
    </row>
    <row r="450" spans="1:12">
      <c r="A450" s="50"/>
      <c r="B450" s="19"/>
      <c r="D450" s="19"/>
      <c r="E450" s="19"/>
      <c r="F450" s="19"/>
      <c r="G450" s="19"/>
      <c r="H450" s="268"/>
      <c r="I450" s="19"/>
      <c r="J450" s="54"/>
      <c r="K450" s="19"/>
      <c r="L450" s="19"/>
    </row>
    <row r="451" spans="1:12">
      <c r="A451" s="50"/>
      <c r="B451" s="19"/>
      <c r="D451" s="19"/>
      <c r="E451" s="19"/>
      <c r="F451" s="19"/>
      <c r="G451" s="19"/>
      <c r="H451" s="268"/>
      <c r="I451" s="19"/>
      <c r="J451" s="54"/>
      <c r="K451" s="19"/>
      <c r="L451" s="19"/>
    </row>
    <row r="452" spans="1:12">
      <c r="A452" s="50"/>
      <c r="B452" s="19"/>
      <c r="D452" s="19"/>
      <c r="E452" s="19"/>
      <c r="F452" s="19"/>
      <c r="G452" s="19"/>
      <c r="H452" s="268"/>
      <c r="I452" s="19"/>
      <c r="J452" s="54"/>
      <c r="K452" s="19"/>
      <c r="L452" s="19"/>
    </row>
    <row r="453" spans="1:12">
      <c r="A453" s="50"/>
      <c r="B453" s="19"/>
      <c r="D453" s="19"/>
      <c r="E453" s="19"/>
      <c r="F453" s="19"/>
      <c r="G453" s="19"/>
      <c r="H453" s="268"/>
      <c r="I453" s="19"/>
      <c r="J453" s="54"/>
      <c r="K453" s="19"/>
      <c r="L453" s="19"/>
    </row>
    <row r="454" spans="1:12">
      <c r="A454" s="50"/>
      <c r="B454" s="19"/>
      <c r="D454" s="19"/>
      <c r="E454" s="19"/>
      <c r="F454" s="19"/>
      <c r="G454" s="19"/>
      <c r="H454" s="268"/>
      <c r="I454" s="19"/>
      <c r="J454" s="54"/>
      <c r="K454" s="19"/>
      <c r="L454" s="19"/>
    </row>
    <row r="455" spans="1:12">
      <c r="A455" s="50"/>
      <c r="B455" s="19"/>
      <c r="D455" s="19"/>
      <c r="E455" s="19"/>
      <c r="F455" s="19"/>
      <c r="G455" s="19"/>
      <c r="H455" s="268"/>
      <c r="I455" s="19"/>
      <c r="J455" s="54"/>
      <c r="K455" s="19"/>
      <c r="L455" s="19"/>
    </row>
    <row r="456" spans="1:12">
      <c r="A456" s="50"/>
      <c r="B456" s="19"/>
      <c r="D456" s="19"/>
      <c r="E456" s="19"/>
      <c r="F456" s="19"/>
      <c r="G456" s="19"/>
      <c r="H456" s="268"/>
      <c r="I456" s="19"/>
      <c r="J456" s="54"/>
      <c r="K456" s="19"/>
      <c r="L456" s="19"/>
    </row>
    <row r="457" spans="1:12">
      <c r="A457" s="50"/>
      <c r="B457" s="19"/>
      <c r="D457" s="19"/>
      <c r="E457" s="19"/>
      <c r="F457" s="19"/>
      <c r="G457" s="19"/>
      <c r="H457" s="268"/>
      <c r="I457" s="19"/>
      <c r="J457" s="54"/>
      <c r="K457" s="19"/>
      <c r="L457" s="19"/>
    </row>
    <row r="458" spans="1:12">
      <c r="A458" s="50"/>
      <c r="B458" s="19"/>
      <c r="D458" s="19"/>
      <c r="E458" s="19"/>
      <c r="F458" s="19"/>
      <c r="G458" s="19"/>
      <c r="H458" s="268"/>
      <c r="I458" s="19"/>
      <c r="J458" s="54"/>
      <c r="K458" s="19"/>
      <c r="L458" s="19"/>
    </row>
    <row r="459" spans="1:12">
      <c r="A459" s="50"/>
      <c r="B459" s="19"/>
      <c r="D459" s="19"/>
      <c r="E459" s="19"/>
      <c r="F459" s="19"/>
      <c r="G459" s="19"/>
      <c r="H459" s="268"/>
      <c r="I459" s="19"/>
      <c r="J459" s="54"/>
      <c r="K459" s="19"/>
      <c r="L459" s="19"/>
    </row>
    <row r="460" spans="1:12">
      <c r="A460" s="50"/>
      <c r="B460" s="19"/>
      <c r="D460" s="19"/>
      <c r="E460" s="19"/>
      <c r="F460" s="19"/>
      <c r="G460" s="19"/>
      <c r="H460" s="268"/>
      <c r="I460" s="19"/>
      <c r="J460" s="54"/>
      <c r="K460" s="19"/>
      <c r="L460" s="19"/>
    </row>
    <row r="461" spans="1:12">
      <c r="A461" s="50"/>
      <c r="B461" s="19"/>
      <c r="D461" s="19"/>
      <c r="E461" s="19"/>
      <c r="F461" s="19"/>
      <c r="G461" s="19"/>
      <c r="H461" s="268"/>
      <c r="I461" s="19"/>
      <c r="J461" s="54"/>
      <c r="K461" s="19"/>
      <c r="L461" s="19"/>
    </row>
    <row r="462" spans="1:12">
      <c r="A462" s="50"/>
      <c r="B462" s="19"/>
      <c r="D462" s="19"/>
      <c r="E462" s="19"/>
      <c r="F462" s="19"/>
      <c r="G462" s="19"/>
      <c r="H462" s="268"/>
      <c r="I462" s="19"/>
      <c r="J462" s="54"/>
      <c r="K462" s="19"/>
      <c r="L462" s="19"/>
    </row>
    <row r="463" spans="1:12">
      <c r="A463" s="50"/>
      <c r="B463" s="19"/>
      <c r="D463" s="19"/>
      <c r="E463" s="19"/>
      <c r="F463" s="19"/>
      <c r="G463" s="19"/>
      <c r="H463" s="268"/>
      <c r="I463" s="19"/>
      <c r="J463" s="54"/>
      <c r="K463" s="19"/>
      <c r="L463" s="19"/>
    </row>
    <row r="464" spans="1:12">
      <c r="A464" s="50"/>
      <c r="B464" s="19"/>
      <c r="D464" s="19"/>
      <c r="E464" s="19"/>
      <c r="F464" s="19"/>
      <c r="G464" s="19"/>
      <c r="H464" s="268"/>
      <c r="I464" s="19"/>
      <c r="J464" s="54"/>
      <c r="K464" s="19"/>
      <c r="L464" s="19"/>
    </row>
    <row r="465" spans="1:12">
      <c r="A465" s="50"/>
      <c r="B465" s="19"/>
      <c r="D465" s="19"/>
      <c r="E465" s="19"/>
      <c r="F465" s="19"/>
      <c r="G465" s="19"/>
      <c r="H465" s="268"/>
      <c r="I465" s="19"/>
      <c r="J465" s="54"/>
      <c r="K465" s="19"/>
      <c r="L465" s="19"/>
    </row>
    <row r="466" spans="1:12">
      <c r="A466" s="50"/>
      <c r="B466" s="19"/>
      <c r="D466" s="19"/>
      <c r="E466" s="19"/>
      <c r="F466" s="19"/>
      <c r="G466" s="19"/>
      <c r="H466" s="268"/>
      <c r="I466" s="19"/>
      <c r="J466" s="54"/>
      <c r="K466" s="19"/>
      <c r="L466" s="19"/>
    </row>
    <row r="467" spans="1:12">
      <c r="A467" s="50"/>
      <c r="B467" s="19"/>
      <c r="D467" s="19"/>
      <c r="E467" s="19"/>
      <c r="F467" s="19"/>
      <c r="G467" s="19"/>
      <c r="H467" s="268"/>
      <c r="I467" s="19"/>
      <c r="J467" s="54"/>
      <c r="K467" s="19"/>
      <c r="L467" s="19"/>
    </row>
    <row r="468" spans="1:12">
      <c r="A468" s="50"/>
      <c r="B468" s="19"/>
      <c r="D468" s="19"/>
      <c r="E468" s="19"/>
      <c r="F468" s="19"/>
      <c r="G468" s="19"/>
      <c r="H468" s="268"/>
      <c r="I468" s="19"/>
      <c r="J468" s="54"/>
      <c r="K468" s="19"/>
      <c r="L468" s="19"/>
    </row>
    <row r="469" spans="1:12">
      <c r="A469" s="50"/>
      <c r="B469" s="19"/>
      <c r="D469" s="19"/>
      <c r="E469" s="19"/>
      <c r="F469" s="19"/>
      <c r="G469" s="19"/>
      <c r="H469" s="268"/>
      <c r="I469" s="19"/>
      <c r="J469" s="54"/>
      <c r="K469" s="19"/>
      <c r="L469" s="19"/>
    </row>
    <row r="470" spans="1:12">
      <c r="A470" s="50"/>
      <c r="B470" s="19"/>
      <c r="D470" s="19"/>
      <c r="E470" s="19"/>
      <c r="F470" s="19"/>
      <c r="G470" s="19"/>
      <c r="H470" s="268"/>
      <c r="I470" s="19"/>
      <c r="J470" s="54"/>
      <c r="K470" s="19"/>
      <c r="L470" s="19"/>
    </row>
    <row r="471" spans="1:12">
      <c r="A471" s="50"/>
      <c r="B471" s="19"/>
      <c r="D471" s="19"/>
      <c r="E471" s="19"/>
      <c r="F471" s="19"/>
      <c r="G471" s="19"/>
      <c r="H471" s="268"/>
      <c r="I471" s="19"/>
      <c r="J471" s="54"/>
      <c r="K471" s="19"/>
      <c r="L471" s="19"/>
    </row>
    <row r="472" spans="1:12">
      <c r="A472" s="50"/>
      <c r="B472" s="19"/>
      <c r="D472" s="19"/>
      <c r="E472" s="19"/>
      <c r="F472" s="19"/>
      <c r="G472" s="19"/>
      <c r="H472" s="268"/>
      <c r="I472" s="19"/>
      <c r="J472" s="54"/>
      <c r="K472" s="19"/>
      <c r="L472" s="19"/>
    </row>
    <row r="473" spans="1:12">
      <c r="A473" s="50"/>
      <c r="B473" s="19"/>
      <c r="D473" s="19"/>
      <c r="E473" s="19"/>
      <c r="F473" s="19"/>
      <c r="G473" s="19"/>
      <c r="H473" s="268"/>
      <c r="I473" s="19"/>
      <c r="J473" s="54"/>
      <c r="K473" s="19"/>
      <c r="L473" s="19"/>
    </row>
    <row r="474" spans="1:12">
      <c r="A474" s="50"/>
      <c r="B474" s="19"/>
      <c r="D474" s="19"/>
      <c r="E474" s="19"/>
      <c r="F474" s="19"/>
      <c r="G474" s="19"/>
      <c r="H474" s="268"/>
      <c r="I474" s="19"/>
      <c r="J474" s="54"/>
      <c r="K474" s="19"/>
      <c r="L474" s="19"/>
    </row>
    <row r="475" spans="1:12">
      <c r="A475" s="50"/>
      <c r="B475" s="19"/>
      <c r="D475" s="19"/>
      <c r="E475" s="19"/>
      <c r="F475" s="19"/>
      <c r="G475" s="19"/>
      <c r="H475" s="268"/>
      <c r="I475" s="19"/>
      <c r="J475" s="54"/>
      <c r="K475" s="19"/>
      <c r="L475" s="19"/>
    </row>
    <row r="476" spans="1:12">
      <c r="A476" s="50"/>
      <c r="B476" s="19"/>
      <c r="D476" s="19"/>
      <c r="E476" s="19"/>
      <c r="F476" s="19"/>
      <c r="G476" s="19"/>
      <c r="H476" s="268"/>
      <c r="I476" s="19"/>
      <c r="J476" s="54"/>
      <c r="K476" s="19"/>
      <c r="L476" s="19"/>
    </row>
    <row r="477" spans="1:12">
      <c r="A477" s="50"/>
      <c r="B477" s="19"/>
      <c r="D477" s="19"/>
      <c r="E477" s="19"/>
      <c r="F477" s="19"/>
      <c r="G477" s="19"/>
      <c r="H477" s="268"/>
      <c r="I477" s="19"/>
      <c r="J477" s="54"/>
      <c r="K477" s="19"/>
      <c r="L477" s="19"/>
    </row>
    <row r="478" spans="1:12">
      <c r="A478" s="50"/>
      <c r="B478" s="19"/>
      <c r="D478" s="19"/>
      <c r="E478" s="19"/>
      <c r="F478" s="19"/>
      <c r="G478" s="19"/>
      <c r="H478" s="268"/>
      <c r="I478" s="19"/>
      <c r="J478" s="54"/>
      <c r="K478" s="19"/>
      <c r="L478" s="19"/>
    </row>
    <row r="479" spans="1:12">
      <c r="A479" s="50"/>
      <c r="B479" s="19"/>
      <c r="D479" s="19"/>
      <c r="E479" s="19"/>
      <c r="F479" s="19"/>
      <c r="G479" s="19"/>
      <c r="H479" s="268"/>
      <c r="I479" s="19"/>
      <c r="J479" s="54"/>
      <c r="K479" s="19"/>
      <c r="L479" s="19"/>
    </row>
    <row r="480" spans="1:12">
      <c r="A480" s="50"/>
      <c r="B480" s="19"/>
      <c r="D480" s="19"/>
      <c r="E480" s="19"/>
      <c r="F480" s="19"/>
      <c r="G480" s="19"/>
      <c r="H480" s="268"/>
      <c r="I480" s="19"/>
      <c r="J480" s="54"/>
      <c r="K480" s="19"/>
      <c r="L480" s="19"/>
    </row>
    <row r="481" spans="1:12">
      <c r="A481" s="50"/>
      <c r="B481" s="19"/>
      <c r="D481" s="19"/>
      <c r="E481" s="19"/>
      <c r="F481" s="19"/>
      <c r="G481" s="19"/>
      <c r="H481" s="268"/>
      <c r="I481" s="19"/>
      <c r="J481" s="54"/>
      <c r="K481" s="19"/>
      <c r="L481" s="19"/>
    </row>
    <row r="482" spans="1:12">
      <c r="A482" s="50"/>
      <c r="B482" s="19"/>
      <c r="D482" s="19"/>
      <c r="E482" s="19"/>
      <c r="F482" s="19"/>
      <c r="G482" s="19"/>
      <c r="H482" s="268"/>
      <c r="I482" s="19"/>
      <c r="J482" s="54"/>
      <c r="K482" s="19"/>
      <c r="L482" s="19"/>
    </row>
    <row r="483" spans="1:12">
      <c r="A483" s="50"/>
      <c r="B483" s="19"/>
      <c r="D483" s="19"/>
      <c r="E483" s="19"/>
      <c r="F483" s="19"/>
      <c r="G483" s="19"/>
      <c r="H483" s="268"/>
      <c r="I483" s="19"/>
      <c r="J483" s="54"/>
      <c r="K483" s="19"/>
      <c r="L483" s="19"/>
    </row>
    <row r="484" spans="1:12">
      <c r="A484" s="50"/>
      <c r="B484" s="19"/>
      <c r="D484" s="19"/>
      <c r="E484" s="19"/>
      <c r="F484" s="19"/>
      <c r="G484" s="19"/>
      <c r="H484" s="268"/>
      <c r="I484" s="19"/>
      <c r="J484" s="54"/>
      <c r="K484" s="19"/>
      <c r="L484" s="19"/>
    </row>
    <row r="485" spans="1:12">
      <c r="A485" s="50"/>
      <c r="B485" s="19"/>
      <c r="D485" s="19"/>
      <c r="E485" s="19"/>
      <c r="F485" s="19"/>
      <c r="G485" s="19"/>
      <c r="H485" s="268"/>
      <c r="I485" s="19"/>
      <c r="J485" s="54"/>
      <c r="K485" s="19"/>
      <c r="L485" s="19"/>
    </row>
    <row r="486" spans="1:12">
      <c r="A486" s="50"/>
      <c r="B486" s="19"/>
      <c r="D486" s="19"/>
      <c r="E486" s="19"/>
      <c r="F486" s="19"/>
      <c r="G486" s="19"/>
      <c r="H486" s="268"/>
      <c r="I486" s="19"/>
      <c r="J486" s="54"/>
      <c r="K486" s="19"/>
      <c r="L486" s="19"/>
    </row>
    <row r="487" spans="1:12">
      <c r="A487" s="50"/>
      <c r="B487" s="19"/>
      <c r="D487" s="19"/>
      <c r="E487" s="19"/>
      <c r="F487" s="19"/>
      <c r="G487" s="19"/>
      <c r="H487" s="268"/>
      <c r="I487" s="19"/>
      <c r="J487" s="54"/>
      <c r="K487" s="19"/>
      <c r="L487" s="19"/>
    </row>
    <row r="488" spans="1:12">
      <c r="A488" s="50"/>
      <c r="B488" s="19"/>
      <c r="D488" s="19"/>
      <c r="E488" s="19"/>
      <c r="F488" s="19"/>
      <c r="G488" s="19"/>
      <c r="H488" s="268"/>
      <c r="I488" s="19"/>
      <c r="J488" s="54"/>
      <c r="K488" s="19"/>
      <c r="L488" s="19"/>
    </row>
    <row r="489" spans="1:12">
      <c r="A489" s="50"/>
      <c r="B489" s="19"/>
      <c r="D489" s="19"/>
      <c r="E489" s="19"/>
      <c r="F489" s="19"/>
      <c r="G489" s="19"/>
      <c r="H489" s="268"/>
      <c r="I489" s="19"/>
      <c r="J489" s="54"/>
      <c r="K489" s="19"/>
      <c r="L489" s="19"/>
    </row>
    <row r="490" spans="1:12">
      <c r="A490" s="50"/>
      <c r="B490" s="19"/>
      <c r="D490" s="19"/>
      <c r="E490" s="19"/>
      <c r="F490" s="19"/>
      <c r="G490" s="19"/>
      <c r="H490" s="268"/>
      <c r="I490" s="19"/>
      <c r="J490" s="54"/>
      <c r="K490" s="19"/>
      <c r="L490" s="19"/>
    </row>
    <row r="491" spans="1:12">
      <c r="A491" s="50"/>
      <c r="B491" s="19"/>
      <c r="D491" s="19"/>
      <c r="E491" s="19"/>
      <c r="F491" s="19"/>
      <c r="G491" s="19"/>
      <c r="H491" s="268"/>
      <c r="I491" s="19"/>
      <c r="J491" s="54"/>
      <c r="K491" s="19"/>
      <c r="L491" s="19"/>
    </row>
    <row r="492" spans="1:12">
      <c r="A492" s="50"/>
      <c r="B492" s="19"/>
      <c r="D492" s="19"/>
      <c r="E492" s="19"/>
      <c r="F492" s="19"/>
      <c r="G492" s="19"/>
      <c r="H492" s="268"/>
      <c r="I492" s="19"/>
      <c r="J492" s="54"/>
      <c r="K492" s="19"/>
      <c r="L492" s="19"/>
    </row>
    <row r="493" spans="1:12">
      <c r="A493" s="50"/>
      <c r="B493" s="19"/>
      <c r="D493" s="19"/>
      <c r="E493" s="19"/>
      <c r="F493" s="19"/>
      <c r="G493" s="19"/>
      <c r="H493" s="268"/>
      <c r="I493" s="19"/>
      <c r="J493" s="54"/>
      <c r="K493" s="19"/>
      <c r="L493" s="19"/>
    </row>
    <row r="494" spans="1:12">
      <c r="A494" s="50"/>
      <c r="B494" s="19"/>
      <c r="D494" s="19"/>
      <c r="E494" s="19"/>
      <c r="F494" s="19"/>
      <c r="G494" s="19"/>
      <c r="H494" s="268"/>
      <c r="I494" s="19"/>
      <c r="J494" s="54"/>
      <c r="K494" s="19"/>
      <c r="L494" s="19"/>
    </row>
    <row r="495" spans="1:12">
      <c r="A495" s="50"/>
      <c r="B495" s="19"/>
      <c r="D495" s="19"/>
      <c r="E495" s="19"/>
      <c r="F495" s="19"/>
      <c r="G495" s="19"/>
      <c r="H495" s="268"/>
      <c r="I495" s="19"/>
      <c r="J495" s="54"/>
      <c r="K495" s="19"/>
      <c r="L495" s="19"/>
    </row>
    <row r="496" spans="1:12">
      <c r="A496" s="50"/>
      <c r="B496" s="19"/>
      <c r="D496" s="19"/>
      <c r="E496" s="19"/>
      <c r="F496" s="19"/>
      <c r="G496" s="19"/>
      <c r="H496" s="268"/>
      <c r="I496" s="19"/>
      <c r="J496" s="54"/>
      <c r="K496" s="19"/>
      <c r="L496" s="19"/>
    </row>
    <row r="497" spans="1:12">
      <c r="A497" s="50"/>
      <c r="B497" s="19"/>
      <c r="D497" s="19"/>
      <c r="E497" s="19"/>
      <c r="F497" s="19"/>
      <c r="G497" s="19"/>
      <c r="H497" s="268"/>
      <c r="I497" s="19"/>
      <c r="J497" s="54"/>
      <c r="K497" s="19"/>
      <c r="L497" s="19"/>
    </row>
    <row r="498" spans="1:12">
      <c r="A498" s="50"/>
      <c r="B498" s="19"/>
      <c r="D498" s="19"/>
      <c r="E498" s="19"/>
      <c r="F498" s="19"/>
      <c r="G498" s="19"/>
      <c r="H498" s="268"/>
      <c r="I498" s="19"/>
      <c r="J498" s="54"/>
      <c r="K498" s="19"/>
      <c r="L498" s="19"/>
    </row>
    <row r="499" spans="1:12">
      <c r="A499" s="50"/>
      <c r="B499" s="19"/>
      <c r="D499" s="19"/>
      <c r="E499" s="19"/>
      <c r="F499" s="19"/>
      <c r="G499" s="19"/>
      <c r="H499" s="268"/>
      <c r="I499" s="19"/>
      <c r="J499" s="54"/>
      <c r="K499" s="19"/>
      <c r="L499" s="19"/>
    </row>
    <row r="500" spans="1:12">
      <c r="A500" s="50"/>
      <c r="B500" s="19"/>
      <c r="D500" s="19"/>
      <c r="E500" s="19"/>
      <c r="F500" s="19"/>
      <c r="G500" s="19"/>
      <c r="H500" s="268"/>
      <c r="I500" s="19"/>
      <c r="J500" s="54"/>
      <c r="K500" s="19"/>
      <c r="L500" s="19"/>
    </row>
    <row r="501" spans="1:12">
      <c r="A501" s="50"/>
      <c r="B501" s="19"/>
      <c r="D501" s="19"/>
      <c r="E501" s="19"/>
      <c r="F501" s="19"/>
      <c r="G501" s="19"/>
      <c r="H501" s="268"/>
      <c r="I501" s="19"/>
      <c r="J501" s="54"/>
      <c r="K501" s="19"/>
      <c r="L501" s="19"/>
    </row>
    <row r="502" spans="1:12">
      <c r="A502" s="50"/>
      <c r="B502" s="19"/>
      <c r="D502" s="19"/>
      <c r="E502" s="19"/>
      <c r="F502" s="19"/>
      <c r="G502" s="19"/>
      <c r="H502" s="268"/>
      <c r="I502" s="19"/>
      <c r="J502" s="54"/>
      <c r="K502" s="19"/>
      <c r="L502" s="19"/>
    </row>
    <row r="503" spans="1:12">
      <c r="A503" s="50"/>
      <c r="B503" s="19"/>
      <c r="D503" s="19"/>
      <c r="E503" s="19"/>
      <c r="F503" s="19"/>
      <c r="G503" s="19"/>
      <c r="H503" s="268"/>
      <c r="I503" s="19"/>
      <c r="J503" s="54"/>
      <c r="K503" s="19"/>
      <c r="L503" s="19"/>
    </row>
    <row r="504" spans="1:12">
      <c r="A504" s="50"/>
      <c r="B504" s="19"/>
      <c r="D504" s="19"/>
      <c r="E504" s="19"/>
      <c r="F504" s="19"/>
      <c r="G504" s="19"/>
      <c r="H504" s="268"/>
      <c r="I504" s="19"/>
      <c r="J504" s="54"/>
      <c r="K504" s="19"/>
      <c r="L504" s="19"/>
    </row>
    <row r="505" spans="1:12">
      <c r="A505" s="50"/>
      <c r="B505" s="19"/>
      <c r="D505" s="19"/>
      <c r="E505" s="19"/>
      <c r="F505" s="19"/>
      <c r="G505" s="19"/>
      <c r="H505" s="268"/>
      <c r="I505" s="19"/>
      <c r="J505" s="54"/>
      <c r="K505" s="19"/>
      <c r="L505" s="19"/>
    </row>
    <row r="506" spans="1:12">
      <c r="A506" s="50"/>
      <c r="B506" s="19"/>
      <c r="D506" s="19"/>
      <c r="E506" s="19"/>
      <c r="F506" s="19"/>
      <c r="G506" s="19"/>
      <c r="H506" s="268"/>
      <c r="I506" s="19"/>
      <c r="J506" s="54"/>
      <c r="K506" s="19"/>
      <c r="L506" s="19"/>
    </row>
    <row r="507" spans="1:12">
      <c r="A507" s="50"/>
      <c r="B507" s="19"/>
      <c r="D507" s="19"/>
      <c r="E507" s="19"/>
      <c r="F507" s="19"/>
      <c r="G507" s="19"/>
      <c r="H507" s="268"/>
      <c r="I507" s="19"/>
      <c r="J507" s="54"/>
      <c r="K507" s="19"/>
      <c r="L507" s="19"/>
    </row>
    <row r="508" spans="1:12">
      <c r="A508" s="50"/>
      <c r="B508" s="19"/>
      <c r="D508" s="19"/>
      <c r="E508" s="19"/>
      <c r="F508" s="19"/>
      <c r="G508" s="19"/>
      <c r="H508" s="268"/>
      <c r="I508" s="19"/>
      <c r="J508" s="54"/>
      <c r="K508" s="19"/>
      <c r="L508" s="19"/>
    </row>
    <row r="509" spans="1:12">
      <c r="A509" s="50"/>
      <c r="B509" s="19"/>
      <c r="D509" s="19"/>
      <c r="E509" s="19"/>
      <c r="F509" s="19"/>
      <c r="G509" s="19"/>
      <c r="H509" s="268"/>
      <c r="I509" s="19"/>
      <c r="J509" s="54"/>
      <c r="K509" s="19"/>
      <c r="L509" s="19"/>
    </row>
    <row r="510" spans="1:12">
      <c r="A510" s="50"/>
      <c r="B510" s="19"/>
      <c r="D510" s="19"/>
      <c r="E510" s="19"/>
      <c r="F510" s="19"/>
      <c r="G510" s="19"/>
      <c r="H510" s="268"/>
      <c r="I510" s="19"/>
      <c r="J510" s="54"/>
      <c r="K510" s="19"/>
      <c r="L510" s="19"/>
    </row>
    <row r="511" spans="1:12">
      <c r="A511" s="50"/>
      <c r="B511" s="19"/>
      <c r="D511" s="19"/>
      <c r="E511" s="19"/>
      <c r="F511" s="19"/>
      <c r="G511" s="19"/>
      <c r="H511" s="268"/>
      <c r="I511" s="19"/>
      <c r="J511" s="54"/>
      <c r="K511" s="19"/>
      <c r="L511" s="19"/>
    </row>
    <row r="512" spans="1:12">
      <c r="A512" s="50"/>
      <c r="B512" s="19"/>
      <c r="D512" s="19"/>
      <c r="E512" s="19"/>
      <c r="F512" s="19"/>
      <c r="G512" s="19"/>
      <c r="H512" s="268"/>
      <c r="I512" s="19"/>
      <c r="J512" s="54"/>
      <c r="K512" s="19"/>
      <c r="L512" s="19"/>
    </row>
    <row r="513" spans="1:12">
      <c r="A513" s="50"/>
      <c r="B513" s="19"/>
      <c r="D513" s="19"/>
      <c r="E513" s="19"/>
      <c r="F513" s="19"/>
      <c r="G513" s="19"/>
      <c r="H513" s="268"/>
      <c r="I513" s="19"/>
      <c r="J513" s="54"/>
      <c r="K513" s="19"/>
      <c r="L513" s="19"/>
    </row>
    <row r="514" spans="1:12">
      <c r="A514" s="50"/>
      <c r="B514" s="19"/>
      <c r="D514" s="19"/>
      <c r="E514" s="19"/>
      <c r="F514" s="19"/>
      <c r="G514" s="19"/>
      <c r="H514" s="268"/>
      <c r="I514" s="19"/>
      <c r="J514" s="54"/>
      <c r="K514" s="19"/>
      <c r="L514" s="19"/>
    </row>
    <row r="515" spans="1:12">
      <c r="A515" s="50"/>
      <c r="B515" s="19"/>
      <c r="D515" s="19"/>
      <c r="E515" s="19"/>
      <c r="F515" s="19"/>
      <c r="G515" s="19"/>
      <c r="H515" s="268"/>
      <c r="I515" s="19"/>
      <c r="J515" s="54"/>
      <c r="K515" s="19"/>
      <c r="L515" s="19"/>
    </row>
    <row r="516" spans="1:12">
      <c r="A516" s="50"/>
      <c r="B516" s="19"/>
      <c r="D516" s="19"/>
      <c r="E516" s="19"/>
      <c r="F516" s="19"/>
      <c r="G516" s="19"/>
      <c r="H516" s="268"/>
      <c r="I516" s="19"/>
      <c r="J516" s="54"/>
      <c r="K516" s="19"/>
      <c r="L516" s="19"/>
    </row>
    <row r="517" spans="1:12">
      <c r="A517" s="50"/>
      <c r="B517" s="19"/>
      <c r="D517" s="19"/>
      <c r="E517" s="19"/>
      <c r="F517" s="19"/>
      <c r="G517" s="19"/>
      <c r="H517" s="268"/>
      <c r="I517" s="19"/>
      <c r="J517" s="54"/>
      <c r="K517" s="19"/>
      <c r="L517" s="19"/>
    </row>
    <row r="518" spans="1:12">
      <c r="A518" s="50"/>
      <c r="B518" s="19"/>
      <c r="D518" s="19"/>
      <c r="E518" s="19"/>
      <c r="F518" s="19"/>
      <c r="G518" s="19"/>
      <c r="H518" s="268"/>
      <c r="I518" s="19"/>
      <c r="J518" s="54"/>
      <c r="K518" s="19"/>
      <c r="L518" s="19"/>
    </row>
    <row r="519" spans="1:12">
      <c r="A519" s="50"/>
      <c r="B519" s="19"/>
      <c r="D519" s="19"/>
      <c r="E519" s="19"/>
      <c r="F519" s="19"/>
      <c r="G519" s="19"/>
      <c r="H519" s="268"/>
      <c r="I519" s="19"/>
      <c r="J519" s="54"/>
      <c r="K519" s="19"/>
      <c r="L519" s="19"/>
    </row>
    <row r="520" spans="1:12">
      <c r="A520" s="50"/>
      <c r="B520" s="19"/>
      <c r="D520" s="19"/>
      <c r="E520" s="19"/>
      <c r="F520" s="19"/>
      <c r="G520" s="19"/>
      <c r="H520" s="268"/>
      <c r="I520" s="19"/>
      <c r="J520" s="54"/>
      <c r="K520" s="19"/>
      <c r="L520" s="19"/>
    </row>
    <row r="521" spans="1:12">
      <c r="A521" s="50"/>
      <c r="B521" s="19"/>
      <c r="D521" s="19"/>
      <c r="E521" s="19"/>
      <c r="F521" s="19"/>
      <c r="G521" s="19"/>
      <c r="H521" s="268"/>
      <c r="I521" s="19"/>
      <c r="J521" s="54"/>
      <c r="K521" s="19"/>
      <c r="L521" s="19"/>
    </row>
    <row r="522" spans="1:12">
      <c r="A522" s="50"/>
      <c r="B522" s="19"/>
      <c r="D522" s="19"/>
      <c r="E522" s="19">
        <f>116+64+6</f>
        <v>186</v>
      </c>
      <c r="F522" s="19"/>
      <c r="G522" s="19"/>
      <c r="H522" s="268"/>
      <c r="I522" s="19"/>
      <c r="J522" s="54"/>
      <c r="K522" s="19"/>
      <c r="L522" s="19"/>
    </row>
    <row r="523" spans="1:12">
      <c r="A523" s="50"/>
      <c r="B523" s="19"/>
      <c r="D523" s="19"/>
      <c r="E523" s="19"/>
      <c r="F523" s="19"/>
      <c r="G523" s="19"/>
      <c r="H523" s="268"/>
      <c r="I523" s="19"/>
      <c r="J523" s="54"/>
      <c r="K523" s="19"/>
      <c r="L523" s="19"/>
    </row>
    <row r="524" spans="1:12">
      <c r="A524" s="50"/>
      <c r="B524" s="19"/>
      <c r="D524" s="19"/>
      <c r="E524" s="19"/>
      <c r="F524" s="19"/>
      <c r="G524" s="19"/>
      <c r="H524" s="268"/>
      <c r="I524" s="19"/>
      <c r="J524" s="54"/>
      <c r="K524" s="19"/>
      <c r="L524" s="19"/>
    </row>
    <row r="525" spans="1:12">
      <c r="A525" s="50"/>
      <c r="B525" s="19"/>
      <c r="D525" s="19"/>
      <c r="E525" s="19"/>
      <c r="F525" s="19"/>
      <c r="G525" s="19"/>
      <c r="H525" s="268"/>
      <c r="I525" s="19"/>
      <c r="J525" s="54"/>
      <c r="K525" s="19"/>
      <c r="L525" s="19"/>
    </row>
    <row r="526" spans="1:12">
      <c r="A526" s="50"/>
      <c r="B526" s="19"/>
      <c r="D526" s="19"/>
      <c r="E526" s="19"/>
      <c r="F526" s="19"/>
      <c r="G526" s="19"/>
      <c r="H526" s="268"/>
      <c r="I526" s="19"/>
      <c r="J526" s="54"/>
      <c r="K526" s="19"/>
      <c r="L526" s="19"/>
    </row>
    <row r="527" spans="1:12">
      <c r="A527" s="50"/>
      <c r="B527" s="19"/>
      <c r="D527" s="19"/>
      <c r="E527" s="19"/>
      <c r="F527" s="19"/>
      <c r="G527" s="19"/>
      <c r="H527" s="268"/>
      <c r="I527" s="19"/>
      <c r="J527" s="54"/>
      <c r="K527" s="19"/>
      <c r="L527" s="19"/>
    </row>
    <row r="528" spans="1:12">
      <c r="A528" s="50"/>
      <c r="B528" s="19"/>
      <c r="D528" s="19"/>
      <c r="E528" s="19"/>
      <c r="F528" s="19"/>
      <c r="G528" s="19"/>
      <c r="H528" s="268"/>
      <c r="I528" s="19"/>
      <c r="J528" s="54"/>
      <c r="K528" s="19"/>
      <c r="L528" s="19"/>
    </row>
    <row r="529" spans="1:14">
      <c r="A529" s="50"/>
      <c r="B529" s="19"/>
      <c r="D529" s="19"/>
      <c r="E529" s="19"/>
      <c r="F529" s="19"/>
      <c r="G529" s="19"/>
      <c r="H529" s="268"/>
      <c r="I529" s="19"/>
      <c r="J529" s="54"/>
      <c r="K529" s="19"/>
      <c r="L529" s="19"/>
    </row>
    <row r="530" spans="1:14">
      <c r="A530" s="50"/>
      <c r="B530" s="19"/>
      <c r="D530" s="19"/>
      <c r="E530" s="19"/>
      <c r="F530" s="19"/>
      <c r="G530" s="19"/>
      <c r="H530" s="268"/>
      <c r="I530" s="19"/>
      <c r="J530" s="54"/>
      <c r="K530" s="19"/>
      <c r="L530" s="19"/>
    </row>
    <row r="531" spans="1:14">
      <c r="A531" s="50"/>
      <c r="B531" s="19"/>
      <c r="D531" s="19"/>
      <c r="E531" s="19"/>
      <c r="F531" s="19"/>
      <c r="G531" s="19"/>
      <c r="H531" s="268"/>
      <c r="I531" s="19"/>
      <c r="J531" s="54"/>
      <c r="K531" s="19"/>
      <c r="L531" s="19"/>
    </row>
    <row r="532" spans="1:14" ht="42">
      <c r="A532" s="50"/>
      <c r="B532" s="57" t="s">
        <v>106</v>
      </c>
      <c r="D532" s="19"/>
      <c r="E532" s="19">
        <v>150</v>
      </c>
      <c r="F532" s="19"/>
      <c r="G532" s="19"/>
      <c r="H532" s="268"/>
      <c r="I532" s="19"/>
      <c r="J532" s="54"/>
      <c r="K532" s="19"/>
      <c r="L532" s="19"/>
    </row>
    <row r="533" spans="1:14" ht="30">
      <c r="A533" s="50"/>
      <c r="B533" s="19" t="s">
        <v>107</v>
      </c>
      <c r="D533" s="19"/>
      <c r="E533" s="19">
        <v>240</v>
      </c>
      <c r="F533" s="19"/>
      <c r="G533" s="19"/>
      <c r="H533" s="268"/>
      <c r="I533" s="19"/>
      <c r="J533" s="54"/>
      <c r="K533" s="19"/>
      <c r="L533" s="19"/>
    </row>
    <row r="534" spans="1:14">
      <c r="A534" s="50"/>
      <c r="B534" s="19"/>
      <c r="D534" s="19"/>
      <c r="E534" s="19"/>
      <c r="F534" s="19"/>
      <c r="G534" s="19"/>
      <c r="H534" s="268"/>
      <c r="I534" s="19"/>
      <c r="J534" s="54"/>
      <c r="K534" s="19"/>
      <c r="L534" s="19"/>
    </row>
    <row r="535" spans="1:14" s="3" customFormat="1" ht="43.2">
      <c r="A535" s="50"/>
      <c r="B535" s="58" t="s">
        <v>108</v>
      </c>
      <c r="C535" s="58"/>
      <c r="D535" s="58"/>
      <c r="E535" s="58">
        <v>19.559999999999999</v>
      </c>
      <c r="F535" s="58"/>
      <c r="G535" s="58"/>
      <c r="H535" s="270"/>
      <c r="I535" s="58"/>
      <c r="J535" s="59"/>
      <c r="K535" s="58"/>
      <c r="L535" s="58"/>
      <c r="M535" s="68"/>
      <c r="N535" s="68"/>
    </row>
    <row r="536" spans="1:14">
      <c r="A536" s="50"/>
      <c r="B536" s="19"/>
      <c r="D536" s="19"/>
      <c r="E536" s="19"/>
      <c r="F536" s="19"/>
      <c r="G536" s="19"/>
      <c r="H536" s="268"/>
      <c r="I536" s="19"/>
      <c r="J536" s="54"/>
      <c r="K536" s="19"/>
      <c r="L536" s="19"/>
    </row>
    <row r="537" spans="1:14">
      <c r="A537" s="50"/>
      <c r="B537" s="19"/>
      <c r="D537" s="19"/>
      <c r="E537" s="19"/>
      <c r="F537" s="19"/>
      <c r="G537" s="19"/>
      <c r="H537" s="268"/>
      <c r="I537" s="19"/>
      <c r="J537" s="54"/>
      <c r="K537" s="19"/>
      <c r="L537" s="19"/>
    </row>
    <row r="538" spans="1:14">
      <c r="A538" s="50"/>
      <c r="B538" s="19"/>
      <c r="D538" s="19"/>
      <c r="E538" s="19"/>
      <c r="F538" s="19"/>
      <c r="G538" s="19"/>
      <c r="H538" s="268"/>
      <c r="I538" s="19"/>
      <c r="J538" s="54"/>
      <c r="K538" s="19"/>
      <c r="L538" s="19"/>
    </row>
    <row r="539" spans="1:14">
      <c r="A539" s="50"/>
      <c r="B539" s="19" t="s">
        <v>97</v>
      </c>
      <c r="D539" s="19"/>
      <c r="E539" s="19"/>
      <c r="F539" s="19"/>
      <c r="G539" s="19"/>
      <c r="H539" s="268"/>
      <c r="I539" s="19"/>
      <c r="J539" s="54"/>
      <c r="K539" s="19"/>
      <c r="L539" s="19"/>
    </row>
    <row r="540" spans="1:14">
      <c r="A540" s="50"/>
      <c r="B540" s="19"/>
      <c r="D540" s="19"/>
      <c r="E540" s="19"/>
      <c r="F540" s="19"/>
      <c r="G540" s="19"/>
      <c r="H540" s="268"/>
      <c r="I540" s="19"/>
      <c r="J540" s="54"/>
      <c r="K540" s="19"/>
      <c r="L540" s="19"/>
    </row>
    <row r="541" spans="1:14" ht="30">
      <c r="A541" s="50"/>
      <c r="B541" s="19" t="s">
        <v>109</v>
      </c>
      <c r="D541" s="19"/>
      <c r="E541" s="19">
        <v>210</v>
      </c>
      <c r="F541" s="19"/>
      <c r="G541" s="19"/>
      <c r="H541" s="268"/>
      <c r="I541" s="19"/>
      <c r="J541" s="54"/>
      <c r="K541" s="19"/>
      <c r="L541" s="19"/>
    </row>
    <row r="542" spans="1:14">
      <c r="A542" s="50"/>
      <c r="B542" s="19"/>
      <c r="D542" s="19"/>
      <c r="E542" s="19"/>
      <c r="F542" s="19"/>
      <c r="G542" s="19"/>
      <c r="H542" s="268"/>
      <c r="I542" s="19"/>
      <c r="J542" s="54"/>
      <c r="K542" s="19"/>
      <c r="L542" s="19"/>
    </row>
    <row r="543" spans="1:14">
      <c r="A543" s="50"/>
      <c r="B543" s="19"/>
      <c r="D543" s="19"/>
      <c r="E543" s="19"/>
      <c r="F543" s="19"/>
      <c r="G543" s="19"/>
      <c r="H543" s="268"/>
      <c r="I543" s="19"/>
      <c r="J543" s="54"/>
      <c r="K543" s="19"/>
      <c r="L543" s="19"/>
    </row>
    <row r="544" spans="1:14">
      <c r="A544" s="50"/>
      <c r="B544" s="19"/>
      <c r="D544" s="19"/>
      <c r="E544" s="19"/>
      <c r="F544" s="19"/>
      <c r="G544" s="19"/>
      <c r="H544" s="268"/>
      <c r="I544" s="19"/>
      <c r="J544" s="54"/>
      <c r="K544" s="19"/>
      <c r="L544" s="19"/>
    </row>
    <row r="545" spans="1:12">
      <c r="A545" s="50"/>
      <c r="B545" s="19"/>
      <c r="D545" s="19"/>
      <c r="E545" s="19"/>
      <c r="F545" s="19"/>
      <c r="G545" s="19"/>
      <c r="H545" s="268"/>
      <c r="I545" s="19"/>
      <c r="J545" s="54"/>
      <c r="K545" s="19"/>
      <c r="L545" s="19"/>
    </row>
    <row r="546" spans="1:12">
      <c r="A546" s="50"/>
      <c r="B546" s="19"/>
      <c r="D546" s="19"/>
      <c r="E546" s="19"/>
      <c r="F546" s="19"/>
      <c r="G546" s="19"/>
      <c r="H546" s="268"/>
      <c r="I546" s="19"/>
      <c r="J546" s="54"/>
      <c r="K546" s="19"/>
      <c r="L546" s="19"/>
    </row>
    <row r="547" spans="1:12">
      <c r="A547" s="50"/>
      <c r="B547" s="19"/>
      <c r="D547" s="19"/>
      <c r="E547" s="19"/>
      <c r="F547" s="19"/>
      <c r="G547" s="19"/>
      <c r="H547" s="268"/>
      <c r="I547" s="19"/>
      <c r="J547" s="54"/>
      <c r="K547" s="19"/>
      <c r="L547" s="19"/>
    </row>
    <row r="548" spans="1:12">
      <c r="A548" s="50"/>
      <c r="B548" s="19"/>
      <c r="D548" s="19"/>
      <c r="E548" s="19"/>
      <c r="F548" s="19"/>
      <c r="G548" s="19"/>
      <c r="H548" s="268"/>
      <c r="I548" s="19"/>
      <c r="J548" s="54"/>
      <c r="K548" s="19"/>
      <c r="L548" s="19"/>
    </row>
    <row r="549" spans="1:12">
      <c r="A549" s="50"/>
      <c r="B549" s="19"/>
      <c r="D549" s="19"/>
      <c r="E549" s="19"/>
      <c r="F549" s="19"/>
      <c r="G549" s="19"/>
      <c r="H549" s="268"/>
      <c r="I549" s="19"/>
      <c r="J549" s="54"/>
      <c r="K549" s="19"/>
      <c r="L549" s="19"/>
    </row>
    <row r="550" spans="1:12">
      <c r="A550" s="50"/>
      <c r="B550" s="19"/>
      <c r="D550" s="19"/>
      <c r="E550" s="19"/>
      <c r="F550" s="19"/>
      <c r="G550" s="19"/>
      <c r="H550" s="268"/>
      <c r="I550" s="19"/>
      <c r="J550" s="54"/>
      <c r="K550" s="19"/>
      <c r="L550" s="19"/>
    </row>
    <row r="551" spans="1:12">
      <c r="A551" s="50"/>
      <c r="B551" s="19"/>
      <c r="D551" s="19"/>
      <c r="E551" s="19"/>
      <c r="F551" s="19"/>
      <c r="G551" s="19"/>
      <c r="H551" s="268"/>
      <c r="I551" s="19"/>
      <c r="J551" s="54"/>
      <c r="K551" s="19"/>
      <c r="L551" s="19"/>
    </row>
    <row r="552" spans="1:12">
      <c r="A552" s="50"/>
      <c r="B552" s="19"/>
      <c r="D552" s="19"/>
      <c r="E552" s="19"/>
      <c r="F552" s="19"/>
      <c r="G552" s="19"/>
      <c r="H552" s="268"/>
      <c r="I552" s="19"/>
      <c r="J552" s="54"/>
      <c r="K552" s="19"/>
      <c r="L552" s="19"/>
    </row>
    <row r="553" spans="1:12">
      <c r="A553" s="50"/>
      <c r="B553" s="19"/>
      <c r="D553" s="19"/>
      <c r="E553" s="19"/>
      <c r="F553" s="19"/>
      <c r="G553" s="19"/>
      <c r="H553" s="268"/>
      <c r="I553" s="19"/>
      <c r="J553" s="54"/>
      <c r="K553" s="19"/>
      <c r="L553" s="19"/>
    </row>
    <row r="554" spans="1:12">
      <c r="A554" s="50"/>
      <c r="B554" s="19"/>
      <c r="D554" s="19"/>
      <c r="E554" s="19"/>
      <c r="F554" s="19"/>
      <c r="G554" s="19"/>
      <c r="H554" s="268"/>
      <c r="I554" s="19"/>
      <c r="J554" s="54"/>
      <c r="K554" s="19"/>
      <c r="L554" s="19"/>
    </row>
    <row r="555" spans="1:12">
      <c r="A555" s="50"/>
      <c r="B555" s="19"/>
      <c r="D555" s="19"/>
      <c r="E555" s="19"/>
      <c r="F555" s="19"/>
      <c r="G555" s="19"/>
      <c r="H555" s="268"/>
      <c r="I555" s="19"/>
      <c r="J555" s="54"/>
      <c r="K555" s="19"/>
      <c r="L555" s="19"/>
    </row>
    <row r="556" spans="1:12">
      <c r="A556" s="50"/>
      <c r="B556" s="19"/>
      <c r="D556" s="19"/>
      <c r="E556" s="19"/>
      <c r="F556" s="19"/>
      <c r="G556" s="19"/>
      <c r="H556" s="268"/>
      <c r="I556" s="19"/>
      <c r="J556" s="54"/>
      <c r="K556" s="19"/>
      <c r="L556" s="19"/>
    </row>
    <row r="557" spans="1:12">
      <c r="A557" s="50"/>
      <c r="B557" s="19"/>
      <c r="D557" s="19"/>
      <c r="E557" s="19"/>
      <c r="F557" s="19"/>
      <c r="G557" s="19"/>
      <c r="H557" s="268"/>
      <c r="I557" s="19"/>
      <c r="J557" s="54"/>
      <c r="K557" s="19"/>
      <c r="L557" s="19"/>
    </row>
    <row r="558" spans="1:12">
      <c r="A558" s="50"/>
      <c r="B558" s="19"/>
      <c r="D558" s="19"/>
      <c r="E558" s="19"/>
      <c r="F558" s="19"/>
      <c r="G558" s="19"/>
      <c r="H558" s="268"/>
      <c r="I558" s="19"/>
      <c r="J558" s="54"/>
      <c r="K558" s="19"/>
      <c r="L558" s="19"/>
    </row>
    <row r="559" spans="1:12">
      <c r="A559" s="50"/>
      <c r="B559" s="19"/>
      <c r="D559" s="19"/>
      <c r="E559" s="19"/>
      <c r="F559" s="19"/>
      <c r="G559" s="19"/>
      <c r="H559" s="268"/>
      <c r="I559" s="19"/>
      <c r="J559" s="54"/>
      <c r="K559" s="19"/>
      <c r="L559" s="19"/>
    </row>
    <row r="560" spans="1:12">
      <c r="A560" s="50"/>
      <c r="B560" s="19"/>
      <c r="D560" s="19"/>
      <c r="E560" s="19"/>
      <c r="F560" s="19"/>
      <c r="G560" s="19"/>
      <c r="H560" s="268"/>
      <c r="I560" s="19"/>
      <c r="J560" s="54"/>
      <c r="K560" s="19"/>
      <c r="L560" s="19"/>
    </row>
    <row r="561" spans="1:12">
      <c r="A561" s="50"/>
      <c r="B561" s="19"/>
      <c r="D561" s="19"/>
      <c r="E561" s="19"/>
      <c r="F561" s="19"/>
      <c r="G561" s="19"/>
      <c r="H561" s="268"/>
      <c r="I561" s="19"/>
      <c r="J561" s="54"/>
      <c r="K561" s="19"/>
      <c r="L561" s="19"/>
    </row>
    <row r="562" spans="1:12">
      <c r="A562" s="50"/>
      <c r="B562" s="19"/>
      <c r="D562" s="19"/>
      <c r="E562" s="19"/>
      <c r="F562" s="19"/>
      <c r="G562" s="19"/>
      <c r="H562" s="268"/>
      <c r="I562" s="19"/>
      <c r="J562" s="54"/>
      <c r="K562" s="19"/>
      <c r="L562" s="19"/>
    </row>
    <row r="563" spans="1:12">
      <c r="A563" s="50"/>
      <c r="B563" s="19"/>
      <c r="D563" s="19"/>
      <c r="E563" s="19"/>
      <c r="F563" s="19"/>
      <c r="G563" s="19"/>
      <c r="H563" s="268"/>
      <c r="I563" s="19"/>
      <c r="J563" s="54"/>
      <c r="K563" s="19"/>
      <c r="L563" s="19"/>
    </row>
    <row r="564" spans="1:12">
      <c r="A564" s="50"/>
      <c r="B564" s="19"/>
      <c r="D564" s="19"/>
      <c r="E564" s="19"/>
      <c r="F564" s="19"/>
      <c r="G564" s="19"/>
      <c r="H564" s="268"/>
      <c r="I564" s="19"/>
      <c r="J564" s="54"/>
      <c r="K564" s="19"/>
      <c r="L564" s="19"/>
    </row>
    <row r="565" spans="1:12">
      <c r="A565" s="50"/>
      <c r="B565" s="19"/>
      <c r="D565" s="19"/>
      <c r="E565" s="19"/>
      <c r="F565" s="19"/>
      <c r="G565" s="19"/>
      <c r="H565" s="268"/>
      <c r="I565" s="19"/>
      <c r="J565" s="54"/>
      <c r="K565" s="19"/>
      <c r="L565" s="19"/>
    </row>
    <row r="566" spans="1:12">
      <c r="A566" s="50"/>
      <c r="B566" s="19"/>
      <c r="D566" s="19"/>
      <c r="E566" s="19"/>
      <c r="F566" s="19"/>
      <c r="G566" s="19"/>
      <c r="H566" s="268"/>
      <c r="I566" s="19"/>
      <c r="J566" s="54"/>
      <c r="K566" s="19"/>
      <c r="L566" s="19"/>
    </row>
    <row r="567" spans="1:12">
      <c r="A567" s="50"/>
      <c r="B567" s="19"/>
      <c r="D567" s="19"/>
      <c r="E567" s="19"/>
      <c r="F567" s="19"/>
      <c r="G567" s="19"/>
      <c r="H567" s="268"/>
      <c r="I567" s="19"/>
      <c r="J567" s="54"/>
      <c r="K567" s="19"/>
      <c r="L567" s="19"/>
    </row>
    <row r="568" spans="1:12">
      <c r="A568" s="50"/>
      <c r="B568" s="19"/>
      <c r="D568" s="19"/>
      <c r="E568" s="19"/>
      <c r="F568" s="19"/>
      <c r="G568" s="19"/>
      <c r="H568" s="268"/>
      <c r="I568" s="19"/>
      <c r="J568" s="54"/>
      <c r="K568" s="19"/>
      <c r="L568" s="19"/>
    </row>
    <row r="569" spans="1:12">
      <c r="A569" s="50"/>
      <c r="B569" s="19"/>
      <c r="D569" s="19"/>
      <c r="E569" s="19"/>
      <c r="F569" s="19"/>
      <c r="G569" s="19"/>
      <c r="H569" s="268"/>
      <c r="I569" s="19"/>
      <c r="J569" s="54"/>
      <c r="K569" s="19"/>
      <c r="L569" s="19"/>
    </row>
    <row r="570" spans="1:12">
      <c r="A570" s="50"/>
      <c r="B570" s="19"/>
      <c r="D570" s="19"/>
      <c r="E570" s="19"/>
      <c r="F570" s="19"/>
      <c r="G570" s="19"/>
      <c r="H570" s="268"/>
      <c r="I570" s="19"/>
      <c r="J570" s="54"/>
      <c r="K570" s="19"/>
      <c r="L570" s="19"/>
    </row>
    <row r="571" spans="1:12">
      <c r="A571" s="50"/>
      <c r="B571" s="19"/>
      <c r="D571" s="19"/>
      <c r="E571" s="19"/>
      <c r="F571" s="19"/>
      <c r="G571" s="19"/>
      <c r="H571" s="268"/>
      <c r="I571" s="19"/>
      <c r="J571" s="54"/>
      <c r="K571" s="19"/>
      <c r="L571" s="19"/>
    </row>
    <row r="572" spans="1:12">
      <c r="A572" s="50"/>
      <c r="B572" s="19"/>
      <c r="D572" s="19"/>
      <c r="E572" s="19"/>
      <c r="F572" s="19"/>
      <c r="G572" s="19"/>
      <c r="H572" s="268"/>
      <c r="I572" s="19"/>
      <c r="J572" s="54"/>
      <c r="K572" s="19"/>
      <c r="L572" s="19"/>
    </row>
    <row r="573" spans="1:12">
      <c r="A573" s="50"/>
      <c r="B573" s="19"/>
      <c r="D573" s="19"/>
      <c r="E573" s="19"/>
      <c r="F573" s="19"/>
      <c r="G573" s="19"/>
      <c r="H573" s="268"/>
      <c r="I573" s="19"/>
      <c r="J573" s="54"/>
      <c r="K573" s="19"/>
      <c r="L573" s="19"/>
    </row>
    <row r="574" spans="1:12">
      <c r="A574" s="50"/>
      <c r="B574" s="19"/>
      <c r="D574" s="19"/>
      <c r="E574" s="19"/>
      <c r="F574" s="19"/>
      <c r="G574" s="19"/>
      <c r="H574" s="268"/>
      <c r="I574" s="19"/>
      <c r="J574" s="54"/>
      <c r="K574" s="19"/>
      <c r="L574" s="19"/>
    </row>
    <row r="575" spans="1:12">
      <c r="A575" s="50"/>
      <c r="B575" s="19"/>
      <c r="D575" s="19"/>
      <c r="E575" s="19"/>
      <c r="F575" s="19"/>
      <c r="G575" s="19"/>
      <c r="H575" s="268"/>
      <c r="I575" s="19"/>
      <c r="J575" s="54"/>
      <c r="K575" s="19"/>
      <c r="L575" s="19"/>
    </row>
    <row r="576" spans="1:12">
      <c r="A576" s="50"/>
      <c r="B576" s="19"/>
      <c r="D576" s="19"/>
      <c r="E576" s="19"/>
      <c r="F576" s="19"/>
      <c r="G576" s="19"/>
      <c r="H576" s="268"/>
      <c r="I576" s="19"/>
      <c r="J576" s="54"/>
      <c r="K576" s="19"/>
      <c r="L576" s="19"/>
    </row>
    <row r="577" spans="1:12">
      <c r="A577" s="50"/>
      <c r="B577" s="19"/>
      <c r="D577" s="19"/>
      <c r="E577" s="19"/>
      <c r="F577" s="19"/>
      <c r="G577" s="19"/>
      <c r="H577" s="268"/>
      <c r="I577" s="19"/>
      <c r="J577" s="54"/>
      <c r="K577" s="19"/>
      <c r="L577" s="19"/>
    </row>
    <row r="578" spans="1:12">
      <c r="A578" s="50"/>
      <c r="B578" s="19"/>
      <c r="D578" s="19"/>
      <c r="E578" s="19"/>
      <c r="F578" s="19"/>
      <c r="G578" s="19"/>
      <c r="H578" s="268"/>
      <c r="I578" s="19"/>
      <c r="J578" s="54"/>
      <c r="K578" s="19"/>
      <c r="L578" s="19"/>
    </row>
    <row r="579" spans="1:12">
      <c r="A579" s="50"/>
      <c r="B579" s="19"/>
      <c r="D579" s="19"/>
      <c r="E579" s="19"/>
      <c r="F579" s="19"/>
      <c r="G579" s="19"/>
      <c r="H579" s="268"/>
      <c r="I579" s="19"/>
      <c r="J579" s="54"/>
      <c r="K579" s="19"/>
      <c r="L579" s="19"/>
    </row>
    <row r="580" spans="1:12">
      <c r="A580" s="50"/>
      <c r="B580" s="19"/>
      <c r="D580" s="19"/>
      <c r="E580" s="19"/>
      <c r="F580" s="19"/>
      <c r="G580" s="19"/>
      <c r="H580" s="268"/>
      <c r="I580" s="19"/>
      <c r="J580" s="54"/>
      <c r="K580" s="19"/>
      <c r="L580" s="19"/>
    </row>
    <row r="581" spans="1:12">
      <c r="A581" s="50"/>
      <c r="B581" s="19"/>
      <c r="D581" s="19"/>
      <c r="E581" s="19"/>
      <c r="F581" s="19"/>
      <c r="G581" s="19"/>
      <c r="H581" s="268"/>
      <c r="I581" s="19"/>
      <c r="J581" s="54"/>
      <c r="K581" s="19"/>
      <c r="L581" s="19"/>
    </row>
    <row r="582" spans="1:12">
      <c r="A582" s="50"/>
      <c r="B582" s="19"/>
      <c r="D582" s="19"/>
      <c r="E582" s="19"/>
      <c r="F582" s="19"/>
      <c r="G582" s="19"/>
      <c r="H582" s="268"/>
      <c r="I582" s="19"/>
      <c r="J582" s="54"/>
      <c r="K582" s="19"/>
      <c r="L582" s="19"/>
    </row>
    <row r="583" spans="1:12">
      <c r="A583" s="50"/>
      <c r="B583" s="19"/>
      <c r="D583" s="19"/>
      <c r="E583" s="19"/>
      <c r="F583" s="19"/>
      <c r="G583" s="19"/>
      <c r="H583" s="268"/>
      <c r="I583" s="19"/>
      <c r="J583" s="54"/>
      <c r="K583" s="19"/>
      <c r="L583" s="19"/>
    </row>
    <row r="584" spans="1:12">
      <c r="A584" s="50"/>
      <c r="B584" s="19"/>
      <c r="D584" s="19"/>
      <c r="E584" s="19"/>
      <c r="F584" s="19"/>
      <c r="G584" s="19"/>
      <c r="H584" s="268"/>
      <c r="I584" s="19"/>
      <c r="J584" s="54"/>
      <c r="K584" s="19"/>
      <c r="L584" s="19"/>
    </row>
    <row r="585" spans="1:12">
      <c r="A585" s="50"/>
      <c r="B585" s="19"/>
      <c r="D585" s="19"/>
      <c r="E585" s="19"/>
      <c r="F585" s="19"/>
      <c r="G585" s="19"/>
      <c r="H585" s="268"/>
      <c r="I585" s="19"/>
      <c r="J585" s="54"/>
      <c r="K585" s="19"/>
      <c r="L585" s="19"/>
    </row>
    <row r="586" spans="1:12">
      <c r="A586" s="50"/>
      <c r="B586" s="19"/>
      <c r="D586" s="19"/>
      <c r="E586" s="19"/>
      <c r="F586" s="19"/>
      <c r="G586" s="19"/>
      <c r="H586" s="268"/>
      <c r="I586" s="19"/>
      <c r="J586" s="54"/>
      <c r="K586" s="19"/>
      <c r="L586" s="19"/>
    </row>
    <row r="587" spans="1:12">
      <c r="A587" s="50"/>
      <c r="B587" s="19"/>
      <c r="D587" s="19"/>
      <c r="E587" s="19"/>
      <c r="F587" s="19"/>
      <c r="G587" s="19"/>
      <c r="H587" s="268"/>
      <c r="I587" s="19"/>
      <c r="J587" s="54"/>
      <c r="K587" s="19"/>
      <c r="L587" s="19"/>
    </row>
    <row r="588" spans="1:12">
      <c r="A588" s="50"/>
      <c r="B588" s="19"/>
      <c r="D588" s="19"/>
      <c r="E588" s="19"/>
      <c r="F588" s="19"/>
      <c r="G588" s="19"/>
      <c r="H588" s="268"/>
      <c r="I588" s="19"/>
      <c r="J588" s="54"/>
      <c r="K588" s="19"/>
      <c r="L588" s="19"/>
    </row>
    <row r="589" spans="1:12">
      <c r="A589" s="50"/>
      <c r="B589" s="19"/>
      <c r="D589" s="19"/>
      <c r="E589" s="19"/>
      <c r="F589" s="19"/>
      <c r="G589" s="19"/>
      <c r="H589" s="268"/>
      <c r="I589" s="19"/>
      <c r="J589" s="54"/>
      <c r="K589" s="19"/>
      <c r="L589" s="19"/>
    </row>
    <row r="590" spans="1:12">
      <c r="A590" s="50"/>
      <c r="B590" s="19"/>
      <c r="D590" s="19"/>
      <c r="E590" s="19"/>
      <c r="F590" s="19"/>
      <c r="G590" s="19"/>
      <c r="H590" s="268"/>
      <c r="I590" s="19"/>
      <c r="J590" s="54"/>
      <c r="K590" s="19"/>
      <c r="L590" s="19"/>
    </row>
    <row r="591" spans="1:12">
      <c r="A591" s="50"/>
      <c r="B591" s="19"/>
      <c r="D591" s="19"/>
      <c r="E591" s="19"/>
      <c r="F591" s="19"/>
      <c r="G591" s="19"/>
      <c r="H591" s="268"/>
      <c r="I591" s="19"/>
      <c r="J591" s="54"/>
      <c r="K591" s="19"/>
      <c r="L591" s="19"/>
    </row>
    <row r="592" spans="1:12">
      <c r="A592" s="50"/>
      <c r="B592" s="19"/>
      <c r="D592" s="19"/>
      <c r="E592" s="19"/>
      <c r="F592" s="19"/>
      <c r="G592" s="19"/>
      <c r="H592" s="268"/>
      <c r="I592" s="19"/>
      <c r="J592" s="54"/>
      <c r="K592" s="19"/>
      <c r="L592" s="19"/>
    </row>
    <row r="593" spans="1:12">
      <c r="A593" s="50"/>
      <c r="B593" s="19"/>
      <c r="D593" s="19"/>
      <c r="E593" s="19"/>
      <c r="F593" s="19"/>
      <c r="G593" s="19"/>
      <c r="H593" s="268"/>
      <c r="I593" s="19"/>
      <c r="J593" s="54"/>
      <c r="K593" s="19"/>
      <c r="L593" s="19"/>
    </row>
    <row r="594" spans="1:12">
      <c r="A594" s="50"/>
      <c r="B594" s="19"/>
      <c r="D594" s="19"/>
      <c r="E594" s="19"/>
      <c r="F594" s="19"/>
      <c r="G594" s="19"/>
      <c r="H594" s="268"/>
      <c r="I594" s="19"/>
      <c r="J594" s="54"/>
      <c r="K594" s="19"/>
      <c r="L594" s="19"/>
    </row>
    <row r="595" spans="1:12">
      <c r="A595" s="50"/>
      <c r="B595" s="19"/>
      <c r="D595" s="19"/>
      <c r="E595" s="19"/>
      <c r="F595" s="19"/>
      <c r="G595" s="19"/>
      <c r="H595" s="268"/>
      <c r="I595" s="19"/>
      <c r="J595" s="54"/>
      <c r="K595" s="19"/>
      <c r="L595" s="19"/>
    </row>
    <row r="596" spans="1:12">
      <c r="A596" s="50"/>
      <c r="B596" s="19"/>
      <c r="D596" s="19"/>
      <c r="E596" s="19"/>
      <c r="F596" s="19"/>
      <c r="G596" s="19"/>
      <c r="H596" s="268"/>
      <c r="I596" s="19"/>
      <c r="J596" s="54"/>
      <c r="K596" s="19"/>
      <c r="L596" s="19"/>
    </row>
    <row r="597" spans="1:12">
      <c r="A597" s="50"/>
      <c r="B597" s="19"/>
      <c r="D597" s="19"/>
      <c r="E597" s="19"/>
      <c r="F597" s="19"/>
      <c r="G597" s="19"/>
      <c r="H597" s="268"/>
      <c r="I597" s="19"/>
      <c r="J597" s="54"/>
      <c r="K597" s="19"/>
      <c r="L597" s="19"/>
    </row>
    <row r="598" spans="1:12">
      <c r="A598" s="50"/>
      <c r="B598" s="19"/>
      <c r="D598" s="19"/>
      <c r="E598" s="19"/>
      <c r="F598" s="19"/>
      <c r="G598" s="19"/>
      <c r="H598" s="268"/>
      <c r="I598" s="19"/>
      <c r="J598" s="54"/>
      <c r="K598" s="19"/>
      <c r="L598" s="19"/>
    </row>
    <row r="599" spans="1:12">
      <c r="A599" s="50"/>
      <c r="B599" s="19"/>
      <c r="D599" s="19"/>
      <c r="E599" s="19"/>
      <c r="F599" s="19"/>
      <c r="G599" s="19"/>
      <c r="H599" s="268"/>
      <c r="I599" s="19"/>
      <c r="J599" s="54"/>
      <c r="K599" s="19"/>
      <c r="L599" s="19"/>
    </row>
    <row r="600" spans="1:12">
      <c r="A600" s="50"/>
      <c r="B600" s="19"/>
      <c r="D600" s="19"/>
      <c r="E600" s="19"/>
      <c r="F600" s="19"/>
      <c r="G600" s="19"/>
      <c r="H600" s="268"/>
      <c r="I600" s="19"/>
      <c r="J600" s="54"/>
      <c r="K600" s="19"/>
      <c r="L600" s="19"/>
    </row>
    <row r="601" spans="1:12">
      <c r="A601" s="50"/>
      <c r="B601" s="19"/>
      <c r="D601" s="19"/>
      <c r="E601" s="19"/>
      <c r="F601" s="19"/>
      <c r="G601" s="19"/>
      <c r="H601" s="268"/>
      <c r="I601" s="19"/>
      <c r="J601" s="54"/>
      <c r="K601" s="19"/>
      <c r="L601" s="19"/>
    </row>
    <row r="602" spans="1:12">
      <c r="A602" s="50"/>
      <c r="B602" s="19"/>
      <c r="D602" s="19"/>
      <c r="E602" s="19"/>
      <c r="F602" s="19"/>
      <c r="G602" s="19"/>
      <c r="H602" s="268"/>
      <c r="I602" s="19"/>
      <c r="J602" s="54"/>
      <c r="K602" s="19"/>
      <c r="L602" s="19"/>
    </row>
    <row r="603" spans="1:12">
      <c r="A603" s="50"/>
      <c r="B603" s="19"/>
      <c r="D603" s="19"/>
      <c r="E603" s="19"/>
      <c r="F603" s="19"/>
      <c r="G603" s="19"/>
      <c r="H603" s="268"/>
      <c r="I603" s="19"/>
      <c r="J603" s="54"/>
      <c r="K603" s="19"/>
      <c r="L603" s="19"/>
    </row>
    <row r="604" spans="1:12">
      <c r="A604" s="50"/>
      <c r="B604" s="19"/>
      <c r="D604" s="19"/>
      <c r="E604" s="19"/>
      <c r="F604" s="19"/>
      <c r="G604" s="19"/>
      <c r="H604" s="268"/>
      <c r="I604" s="19"/>
      <c r="J604" s="54"/>
      <c r="K604" s="19"/>
      <c r="L604" s="19"/>
    </row>
    <row r="605" spans="1:12">
      <c r="A605" s="50"/>
      <c r="B605" s="19"/>
      <c r="D605" s="19"/>
      <c r="E605" s="19"/>
      <c r="F605" s="19"/>
      <c r="G605" s="19"/>
      <c r="H605" s="268"/>
      <c r="I605" s="19"/>
      <c r="J605" s="54"/>
      <c r="K605" s="19"/>
      <c r="L605" s="19"/>
    </row>
    <row r="606" spans="1:12">
      <c r="A606" s="50"/>
      <c r="B606" s="19"/>
      <c r="D606" s="19"/>
      <c r="E606" s="19"/>
      <c r="F606" s="19"/>
      <c r="G606" s="19"/>
      <c r="H606" s="268"/>
      <c r="I606" s="19"/>
      <c r="J606" s="54"/>
      <c r="K606" s="19"/>
      <c r="L606" s="19"/>
    </row>
    <row r="607" spans="1:12">
      <c r="A607" s="50"/>
      <c r="B607" s="19"/>
      <c r="D607" s="19"/>
      <c r="E607" s="19"/>
      <c r="F607" s="19"/>
      <c r="G607" s="19"/>
      <c r="H607" s="268"/>
      <c r="I607" s="19"/>
      <c r="J607" s="54"/>
      <c r="K607" s="19"/>
      <c r="L607" s="19"/>
    </row>
    <row r="608" spans="1:12">
      <c r="A608" s="50"/>
      <c r="B608" s="19"/>
      <c r="D608" s="19"/>
      <c r="E608" s="19"/>
      <c r="F608" s="19"/>
      <c r="G608" s="19"/>
      <c r="H608" s="268"/>
      <c r="I608" s="19"/>
      <c r="J608" s="54"/>
      <c r="K608" s="19"/>
      <c r="L608" s="19"/>
    </row>
    <row r="609" spans="1:12">
      <c r="A609" s="50"/>
      <c r="B609" s="19"/>
      <c r="D609" s="19"/>
      <c r="E609" s="19"/>
      <c r="F609" s="19"/>
      <c r="G609" s="19"/>
      <c r="H609" s="268"/>
      <c r="I609" s="19"/>
      <c r="J609" s="54"/>
      <c r="K609" s="19"/>
      <c r="L609" s="19"/>
    </row>
    <row r="610" spans="1:12">
      <c r="A610" s="50"/>
      <c r="B610" s="19"/>
      <c r="D610" s="19"/>
      <c r="E610" s="19"/>
      <c r="F610" s="19"/>
      <c r="G610" s="19"/>
      <c r="H610" s="268"/>
      <c r="I610" s="19"/>
      <c r="J610" s="54"/>
      <c r="K610" s="19"/>
      <c r="L610" s="19"/>
    </row>
    <row r="611" spans="1:12">
      <c r="A611" s="50"/>
      <c r="B611" s="19"/>
      <c r="D611" s="19"/>
      <c r="E611" s="19"/>
      <c r="F611" s="19"/>
      <c r="G611" s="19"/>
      <c r="H611" s="268"/>
      <c r="I611" s="19"/>
      <c r="J611" s="54"/>
      <c r="K611" s="19"/>
      <c r="L611" s="19"/>
    </row>
    <row r="612" spans="1:12">
      <c r="A612" s="50"/>
      <c r="B612" s="19"/>
      <c r="D612" s="19"/>
      <c r="E612" s="19"/>
      <c r="F612" s="19"/>
      <c r="G612" s="19"/>
      <c r="H612" s="268"/>
      <c r="I612" s="19"/>
      <c r="J612" s="54"/>
      <c r="K612" s="19"/>
      <c r="L612" s="19"/>
    </row>
    <row r="613" spans="1:12">
      <c r="A613" s="50"/>
      <c r="B613" s="19"/>
      <c r="D613" s="19"/>
      <c r="E613" s="19"/>
      <c r="F613" s="19"/>
      <c r="G613" s="19"/>
      <c r="H613" s="268"/>
      <c r="I613" s="19"/>
      <c r="J613" s="54"/>
      <c r="K613" s="19"/>
      <c r="L613" s="19"/>
    </row>
    <row r="614" spans="1:12">
      <c r="A614" s="50"/>
      <c r="B614" s="19"/>
      <c r="D614" s="19"/>
      <c r="E614" s="19"/>
      <c r="F614" s="19"/>
      <c r="G614" s="19"/>
      <c r="H614" s="268"/>
      <c r="I614" s="19"/>
      <c r="J614" s="54"/>
      <c r="K614" s="19"/>
      <c r="L614" s="19"/>
    </row>
    <row r="615" spans="1:12">
      <c r="A615" s="50"/>
      <c r="B615" s="19"/>
      <c r="D615" s="19"/>
      <c r="E615" s="19"/>
      <c r="F615" s="19"/>
      <c r="G615" s="19"/>
      <c r="H615" s="268"/>
      <c r="I615" s="19"/>
      <c r="J615" s="54"/>
      <c r="K615" s="19"/>
      <c r="L615" s="19"/>
    </row>
    <row r="616" spans="1:12">
      <c r="A616" s="50"/>
      <c r="B616" s="19"/>
      <c r="D616" s="19"/>
      <c r="E616" s="19"/>
      <c r="F616" s="19"/>
      <c r="G616" s="19"/>
      <c r="H616" s="268"/>
      <c r="I616" s="19"/>
      <c r="J616" s="54"/>
      <c r="K616" s="19"/>
      <c r="L616" s="19"/>
    </row>
    <row r="617" spans="1:12">
      <c r="A617" s="50"/>
      <c r="B617" s="19"/>
      <c r="D617" s="19"/>
      <c r="E617" s="19"/>
      <c r="F617" s="19"/>
      <c r="G617" s="19"/>
      <c r="H617" s="268"/>
      <c r="I617" s="19"/>
      <c r="J617" s="54"/>
      <c r="K617" s="19"/>
      <c r="L617" s="19"/>
    </row>
    <row r="618" spans="1:12">
      <c r="A618" s="50"/>
      <c r="B618" s="19"/>
      <c r="D618" s="19"/>
      <c r="E618" s="19"/>
      <c r="F618" s="19"/>
      <c r="G618" s="19"/>
      <c r="H618" s="268"/>
      <c r="I618" s="19"/>
      <c r="J618" s="54"/>
      <c r="K618" s="19"/>
      <c r="L618" s="19"/>
    </row>
    <row r="619" spans="1:12">
      <c r="A619" s="50"/>
      <c r="B619" s="19"/>
      <c r="D619" s="19"/>
      <c r="E619" s="19"/>
      <c r="F619" s="19"/>
      <c r="G619" s="19"/>
      <c r="H619" s="268"/>
      <c r="I619" s="19"/>
      <c r="J619" s="54"/>
      <c r="K619" s="19"/>
      <c r="L619" s="19"/>
    </row>
    <row r="620" spans="1:12">
      <c r="A620" s="50"/>
      <c r="B620" s="19"/>
      <c r="D620" s="19"/>
      <c r="E620" s="19"/>
      <c r="F620" s="19"/>
      <c r="G620" s="19"/>
      <c r="H620" s="268"/>
      <c r="I620" s="19"/>
      <c r="J620" s="54"/>
      <c r="K620" s="19"/>
      <c r="L620" s="19"/>
    </row>
    <row r="621" spans="1:12">
      <c r="A621" s="50"/>
      <c r="B621" s="19"/>
      <c r="D621" s="19"/>
      <c r="E621" s="19"/>
      <c r="F621" s="19"/>
      <c r="G621" s="19"/>
      <c r="H621" s="268"/>
      <c r="I621" s="19"/>
      <c r="J621" s="54"/>
      <c r="K621" s="19"/>
      <c r="L621" s="19"/>
    </row>
    <row r="622" spans="1:12">
      <c r="A622" s="50"/>
      <c r="B622" s="19"/>
      <c r="D622" s="19"/>
      <c r="E622" s="19"/>
      <c r="F622" s="19"/>
      <c r="G622" s="19"/>
      <c r="H622" s="268"/>
      <c r="I622" s="19"/>
      <c r="J622" s="54"/>
      <c r="K622" s="19"/>
      <c r="L622" s="19"/>
    </row>
    <row r="623" spans="1:12">
      <c r="A623" s="50"/>
      <c r="B623" s="19"/>
      <c r="D623" s="19"/>
      <c r="E623" s="19"/>
      <c r="F623" s="19"/>
      <c r="G623" s="19"/>
      <c r="H623" s="268"/>
      <c r="I623" s="19"/>
      <c r="J623" s="54"/>
      <c r="K623" s="19"/>
      <c r="L623" s="19"/>
    </row>
    <row r="624" spans="1:12">
      <c r="A624" s="50"/>
      <c r="B624" s="19"/>
      <c r="D624" s="19"/>
      <c r="E624" s="19"/>
      <c r="F624" s="19"/>
      <c r="G624" s="19"/>
      <c r="H624" s="268"/>
      <c r="I624" s="19"/>
      <c r="J624" s="54"/>
      <c r="K624" s="19"/>
      <c r="L624" s="19"/>
    </row>
    <row r="625" spans="1:12">
      <c r="A625" s="50"/>
      <c r="B625" s="19"/>
      <c r="D625" s="19"/>
      <c r="E625" s="19"/>
      <c r="F625" s="19"/>
      <c r="G625" s="19"/>
      <c r="H625" s="268"/>
      <c r="I625" s="19"/>
      <c r="J625" s="54"/>
      <c r="K625" s="19"/>
      <c r="L625" s="19"/>
    </row>
    <row r="626" spans="1:12">
      <c r="A626" s="50"/>
      <c r="B626" s="19"/>
      <c r="D626" s="19"/>
      <c r="E626" s="19"/>
      <c r="F626" s="19"/>
      <c r="G626" s="19"/>
      <c r="H626" s="268"/>
      <c r="I626" s="19"/>
      <c r="J626" s="54"/>
      <c r="K626" s="19"/>
      <c r="L626" s="19"/>
    </row>
    <row r="627" spans="1:12">
      <c r="A627" s="50"/>
      <c r="B627" s="19"/>
      <c r="D627" s="19"/>
      <c r="E627" s="19"/>
      <c r="F627" s="19"/>
      <c r="G627" s="19"/>
      <c r="H627" s="268"/>
      <c r="I627" s="19"/>
      <c r="J627" s="54"/>
      <c r="K627" s="19"/>
      <c r="L627" s="19"/>
    </row>
    <row r="628" spans="1:12">
      <c r="A628" s="50"/>
      <c r="B628" s="19"/>
      <c r="D628" s="19"/>
      <c r="E628" s="19"/>
      <c r="F628" s="19"/>
      <c r="G628" s="19"/>
      <c r="H628" s="268"/>
      <c r="I628" s="19"/>
      <c r="J628" s="54"/>
      <c r="K628" s="19"/>
      <c r="L628" s="19"/>
    </row>
    <row r="629" spans="1:12">
      <c r="A629" s="50"/>
      <c r="B629" s="19"/>
      <c r="D629" s="19"/>
      <c r="E629" s="19"/>
      <c r="F629" s="19"/>
      <c r="G629" s="19"/>
      <c r="H629" s="268"/>
      <c r="I629" s="19"/>
      <c r="J629" s="54"/>
      <c r="K629" s="19"/>
      <c r="L629" s="19"/>
    </row>
    <row r="630" spans="1:12">
      <c r="A630" s="50"/>
      <c r="B630" s="19"/>
      <c r="D630" s="19"/>
      <c r="E630" s="19"/>
      <c r="F630" s="19"/>
      <c r="G630" s="19"/>
      <c r="H630" s="268"/>
      <c r="I630" s="19"/>
      <c r="J630" s="54"/>
      <c r="K630" s="19"/>
      <c r="L630" s="19"/>
    </row>
    <row r="631" spans="1:12">
      <c r="A631" s="50"/>
      <c r="B631" s="19"/>
      <c r="D631" s="19"/>
      <c r="E631" s="19"/>
      <c r="F631" s="19"/>
      <c r="G631" s="19"/>
      <c r="H631" s="268"/>
      <c r="I631" s="19"/>
      <c r="J631" s="54"/>
      <c r="K631" s="19"/>
      <c r="L631" s="19"/>
    </row>
    <row r="632" spans="1:12">
      <c r="A632" s="50"/>
      <c r="B632" s="19"/>
      <c r="D632" s="19"/>
      <c r="E632" s="19"/>
      <c r="F632" s="19"/>
      <c r="G632" s="19"/>
      <c r="H632" s="268"/>
      <c r="I632" s="19"/>
      <c r="J632" s="54"/>
      <c r="K632" s="19"/>
      <c r="L632" s="19"/>
    </row>
    <row r="633" spans="1:12">
      <c r="A633" s="50"/>
      <c r="B633" s="19"/>
      <c r="D633" s="19"/>
      <c r="E633" s="19"/>
      <c r="F633" s="19"/>
      <c r="G633" s="19"/>
      <c r="H633" s="268"/>
      <c r="I633" s="19"/>
      <c r="J633" s="54"/>
      <c r="K633" s="19"/>
      <c r="L633" s="19"/>
    </row>
    <row r="634" spans="1:12">
      <c r="A634" s="50"/>
      <c r="B634" s="19"/>
      <c r="D634" s="19"/>
      <c r="E634" s="19"/>
      <c r="F634" s="19"/>
      <c r="G634" s="19"/>
      <c r="H634" s="268"/>
      <c r="I634" s="19"/>
      <c r="J634" s="54"/>
      <c r="K634" s="19"/>
      <c r="L634" s="19"/>
    </row>
    <row r="635" spans="1:12">
      <c r="A635" s="50"/>
      <c r="B635" s="19"/>
      <c r="D635" s="19"/>
      <c r="E635" s="19"/>
      <c r="F635" s="19"/>
      <c r="G635" s="19"/>
      <c r="H635" s="268"/>
      <c r="I635" s="19"/>
      <c r="J635" s="54"/>
      <c r="K635" s="19"/>
      <c r="L635" s="19"/>
    </row>
    <row r="636" spans="1:12">
      <c r="A636" s="50"/>
      <c r="B636" s="19"/>
      <c r="D636" s="19"/>
      <c r="E636" s="19"/>
      <c r="F636" s="19"/>
      <c r="G636" s="19"/>
      <c r="H636" s="268"/>
      <c r="I636" s="19"/>
      <c r="J636" s="54"/>
      <c r="K636" s="19"/>
      <c r="L636" s="19"/>
    </row>
    <row r="637" spans="1:12">
      <c r="A637" s="50"/>
      <c r="B637" s="19"/>
      <c r="D637" s="19"/>
      <c r="E637" s="19"/>
      <c r="F637" s="19"/>
      <c r="G637" s="19"/>
      <c r="H637" s="268"/>
      <c r="I637" s="19"/>
      <c r="J637" s="54"/>
      <c r="K637" s="19"/>
      <c r="L637" s="19"/>
    </row>
    <row r="638" spans="1:12">
      <c r="A638" s="50"/>
      <c r="B638" s="19"/>
      <c r="D638" s="19"/>
      <c r="E638" s="19"/>
      <c r="F638" s="19"/>
      <c r="G638" s="19"/>
      <c r="H638" s="268"/>
      <c r="I638" s="19"/>
      <c r="J638" s="54"/>
      <c r="K638" s="19"/>
      <c r="L638" s="19"/>
    </row>
    <row r="639" spans="1:12">
      <c r="A639" s="50"/>
      <c r="B639" s="19"/>
      <c r="D639" s="19"/>
      <c r="E639" s="19"/>
      <c r="F639" s="19"/>
      <c r="G639" s="19"/>
      <c r="H639" s="268"/>
      <c r="I639" s="19"/>
      <c r="J639" s="54"/>
      <c r="K639" s="19"/>
      <c r="L639" s="19"/>
    </row>
    <row r="640" spans="1:12">
      <c r="A640" s="50"/>
      <c r="B640" s="19"/>
      <c r="D640" s="19"/>
      <c r="E640" s="19"/>
      <c r="F640" s="19"/>
      <c r="G640" s="19"/>
      <c r="H640" s="268"/>
      <c r="I640" s="19"/>
      <c r="J640" s="54"/>
      <c r="K640" s="19"/>
      <c r="L640" s="19"/>
    </row>
    <row r="641" spans="1:12">
      <c r="A641" s="50"/>
      <c r="B641" s="19"/>
      <c r="D641" s="19"/>
      <c r="E641" s="19"/>
      <c r="F641" s="19"/>
      <c r="G641" s="19"/>
      <c r="H641" s="268"/>
      <c r="I641" s="19"/>
      <c r="J641" s="54"/>
      <c r="K641" s="19"/>
      <c r="L641" s="19"/>
    </row>
    <row r="642" spans="1:12">
      <c r="A642" s="50"/>
      <c r="B642" s="19"/>
      <c r="D642" s="19"/>
      <c r="E642" s="19"/>
      <c r="F642" s="19"/>
      <c r="G642" s="19"/>
      <c r="H642" s="268"/>
      <c r="I642" s="19"/>
      <c r="J642" s="54"/>
      <c r="K642" s="19"/>
      <c r="L642" s="19"/>
    </row>
    <row r="643" spans="1:12">
      <c r="A643" s="50"/>
      <c r="B643" s="19"/>
      <c r="D643" s="19"/>
      <c r="E643" s="19"/>
      <c r="F643" s="19"/>
      <c r="G643" s="19"/>
      <c r="H643" s="268"/>
      <c r="I643" s="19"/>
      <c r="J643" s="54"/>
      <c r="K643" s="19"/>
      <c r="L643" s="19"/>
    </row>
    <row r="644" spans="1:12">
      <c r="A644" s="50"/>
      <c r="B644" s="19"/>
      <c r="D644" s="19"/>
      <c r="E644" s="19"/>
      <c r="F644" s="19"/>
      <c r="G644" s="19"/>
      <c r="H644" s="268"/>
      <c r="I644" s="19"/>
      <c r="J644" s="54"/>
      <c r="K644" s="19"/>
      <c r="L644" s="19"/>
    </row>
    <row r="645" spans="1:12">
      <c r="A645" s="50"/>
      <c r="B645" s="19"/>
      <c r="D645" s="19"/>
      <c r="E645" s="19"/>
      <c r="F645" s="19"/>
      <c r="G645" s="19"/>
      <c r="H645" s="268"/>
      <c r="I645" s="19"/>
      <c r="J645" s="54"/>
      <c r="K645" s="19"/>
      <c r="L645" s="19"/>
    </row>
    <row r="646" spans="1:12">
      <c r="A646" s="50"/>
      <c r="B646" s="19"/>
      <c r="D646" s="19"/>
      <c r="E646" s="19"/>
      <c r="F646" s="19"/>
      <c r="G646" s="19"/>
      <c r="H646" s="268"/>
      <c r="I646" s="19"/>
      <c r="J646" s="54"/>
      <c r="K646" s="19"/>
      <c r="L646" s="19"/>
    </row>
    <row r="647" spans="1:12">
      <c r="A647" s="50"/>
      <c r="B647" s="19"/>
      <c r="D647" s="19"/>
      <c r="E647" s="19"/>
      <c r="F647" s="19"/>
      <c r="G647" s="19"/>
      <c r="H647" s="268"/>
      <c r="I647" s="19"/>
      <c r="J647" s="54"/>
      <c r="K647" s="19"/>
      <c r="L647" s="19"/>
    </row>
    <row r="648" spans="1:12">
      <c r="A648" s="50"/>
      <c r="B648" s="19"/>
      <c r="D648" s="19"/>
      <c r="E648" s="19"/>
      <c r="F648" s="19"/>
      <c r="G648" s="19"/>
      <c r="H648" s="268"/>
      <c r="I648" s="19"/>
      <c r="J648" s="54"/>
      <c r="K648" s="19"/>
      <c r="L648" s="19"/>
    </row>
    <row r="649" spans="1:12">
      <c r="A649" s="50"/>
      <c r="B649" s="19"/>
      <c r="D649" s="19"/>
      <c r="E649" s="19"/>
      <c r="F649" s="19"/>
      <c r="G649" s="19"/>
      <c r="H649" s="268"/>
      <c r="I649" s="19"/>
      <c r="J649" s="54"/>
      <c r="K649" s="19"/>
      <c r="L649" s="19"/>
    </row>
    <row r="650" spans="1:12">
      <c r="A650" s="50"/>
      <c r="B650" s="19"/>
      <c r="D650" s="19"/>
      <c r="E650" s="19"/>
      <c r="F650" s="19"/>
      <c r="G650" s="19"/>
      <c r="H650" s="268"/>
      <c r="I650" s="19"/>
      <c r="J650" s="54"/>
      <c r="K650" s="19"/>
      <c r="L650" s="19"/>
    </row>
    <row r="651" spans="1:12">
      <c r="A651" s="50"/>
      <c r="B651" s="19"/>
      <c r="D651" s="19"/>
      <c r="E651" s="19"/>
      <c r="F651" s="19"/>
      <c r="G651" s="19"/>
      <c r="H651" s="268"/>
      <c r="I651" s="19"/>
      <c r="J651" s="54"/>
      <c r="K651" s="19"/>
      <c r="L651" s="19"/>
    </row>
    <row r="652" spans="1:12">
      <c r="A652" s="50"/>
      <c r="B652" s="19"/>
      <c r="D652" s="19"/>
      <c r="E652" s="19"/>
      <c r="F652" s="19"/>
      <c r="G652" s="19"/>
      <c r="H652" s="268"/>
      <c r="I652" s="19"/>
      <c r="J652" s="54"/>
      <c r="K652" s="19"/>
      <c r="L652" s="19"/>
    </row>
  </sheetData>
  <autoFilter ref="A8:L543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5" header="0.66929133858267698" footer="0.31496062992126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85"/>
  <sheetViews>
    <sheetView topLeftCell="A26" zoomScaleNormal="100" zoomScaleSheetLayoutView="100" workbookViewId="0">
      <selection activeCell="K22" sqref="K22:K56"/>
    </sheetView>
  </sheetViews>
  <sheetFormatPr defaultColWidth="9.109375" defaultRowHeight="15"/>
  <cols>
    <col min="1" max="1" width="3.88671875" style="41" customWidth="1"/>
    <col min="2" max="2" width="43" style="43" customWidth="1"/>
    <col min="3" max="3" width="9.6640625" style="19" customWidth="1"/>
    <col min="4" max="4" width="7.33203125" style="60" customWidth="1"/>
    <col min="5" max="5" width="9" style="60" customWidth="1"/>
    <col min="6" max="6" width="8.6640625" style="60" customWidth="1"/>
    <col min="7" max="7" width="8.44140625" style="60" customWidth="1"/>
    <col min="8" max="8" width="8" style="272" customWidth="1"/>
    <col min="9" max="9" width="9" style="60" customWidth="1"/>
    <col min="10" max="10" width="8.109375" style="225" customWidth="1"/>
    <col min="11" max="11" width="8.33203125" style="60" customWidth="1"/>
    <col min="12" max="12" width="12.109375" style="60" customWidth="1"/>
    <col min="13" max="25" width="9.109375" style="359"/>
    <col min="26" max="16384" width="9.109375" style="1"/>
  </cols>
  <sheetData>
    <row r="1" spans="1:32">
      <c r="A1" s="61"/>
      <c r="B1" s="62"/>
      <c r="C1" s="62"/>
      <c r="D1" s="62"/>
      <c r="E1" s="62"/>
      <c r="F1" s="62"/>
      <c r="G1" s="62"/>
      <c r="H1" s="263"/>
      <c r="I1" s="62"/>
      <c r="J1" s="66"/>
      <c r="K1" s="62"/>
      <c r="L1" s="62"/>
    </row>
    <row r="2" spans="1:32" ht="16.5" customHeight="1">
      <c r="A2" s="1177" t="s">
        <v>348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</row>
    <row r="3" spans="1:32" ht="19.8">
      <c r="A3" s="63"/>
      <c r="B3" s="64"/>
      <c r="C3" s="65"/>
      <c r="D3" s="65"/>
      <c r="E3" s="65"/>
      <c r="F3" s="65"/>
      <c r="G3" s="65"/>
      <c r="H3" s="264"/>
      <c r="I3" s="65"/>
      <c r="J3" s="67"/>
      <c r="K3" s="65"/>
      <c r="L3" s="65"/>
    </row>
    <row r="4" spans="1:32" ht="17.399999999999999" customHeight="1">
      <c r="A4" s="1177" t="s">
        <v>346</v>
      </c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</row>
    <row r="5" spans="1:32" ht="19.8">
      <c r="A5" s="63"/>
      <c r="B5" s="64"/>
      <c r="C5" s="65"/>
      <c r="D5" s="65"/>
      <c r="E5" s="65"/>
      <c r="F5" s="65"/>
      <c r="G5" s="65"/>
      <c r="H5" s="264"/>
      <c r="I5" s="65"/>
      <c r="J5" s="67"/>
      <c r="K5" s="65"/>
      <c r="L5" s="65"/>
    </row>
    <row r="6" spans="1:32" ht="27" customHeight="1">
      <c r="A6" s="1170" t="s">
        <v>13</v>
      </c>
      <c r="B6" s="1170" t="s">
        <v>27</v>
      </c>
      <c r="C6" s="1170" t="s">
        <v>32</v>
      </c>
      <c r="D6" s="1178" t="s">
        <v>33</v>
      </c>
      <c r="E6" s="1179"/>
      <c r="F6" s="1170" t="s">
        <v>34</v>
      </c>
      <c r="G6" s="1170"/>
      <c r="H6" s="1170" t="s">
        <v>35</v>
      </c>
      <c r="I6" s="1170"/>
      <c r="J6" s="1170" t="s">
        <v>36</v>
      </c>
      <c r="K6" s="1170"/>
      <c r="L6" s="1175" t="s">
        <v>37</v>
      </c>
    </row>
    <row r="7" spans="1:32" ht="30">
      <c r="A7" s="1170"/>
      <c r="B7" s="1170"/>
      <c r="C7" s="1170"/>
      <c r="D7" s="70" t="s">
        <v>38</v>
      </c>
      <c r="E7" s="954" t="s">
        <v>22</v>
      </c>
      <c r="F7" s="70" t="s">
        <v>39</v>
      </c>
      <c r="G7" s="954" t="s">
        <v>40</v>
      </c>
      <c r="H7" s="953" t="s">
        <v>39</v>
      </c>
      <c r="I7" s="954" t="s">
        <v>40</v>
      </c>
      <c r="J7" s="70" t="s">
        <v>39</v>
      </c>
      <c r="K7" s="954" t="s">
        <v>40</v>
      </c>
      <c r="L7" s="1176"/>
    </row>
    <row r="8" spans="1:32" s="248" customFormat="1" ht="21" customHeight="1">
      <c r="A8" s="110">
        <v>1</v>
      </c>
      <c r="B8" s="110">
        <v>2</v>
      </c>
      <c r="C8" s="111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274">
        <v>10</v>
      </c>
      <c r="K8" s="112">
        <v>11</v>
      </c>
      <c r="L8" s="112">
        <v>12</v>
      </c>
      <c r="N8" s="295"/>
    </row>
    <row r="9" spans="1:32" ht="14.4">
      <c r="A9" s="969"/>
      <c r="B9" s="974" t="s">
        <v>17</v>
      </c>
      <c r="C9" s="971"/>
      <c r="D9" s="970"/>
      <c r="E9" s="970"/>
      <c r="F9" s="970"/>
      <c r="G9" s="972"/>
      <c r="H9" s="973"/>
      <c r="I9" s="972"/>
      <c r="J9" s="970"/>
      <c r="K9" s="970"/>
      <c r="L9" s="970"/>
    </row>
    <row r="10" spans="1:32" s="12" customFormat="1" ht="47.4">
      <c r="A10" s="985">
        <v>1</v>
      </c>
      <c r="B10" s="986" t="s">
        <v>418</v>
      </c>
      <c r="C10" s="985" t="s">
        <v>338</v>
      </c>
      <c r="D10" s="985"/>
      <c r="E10" s="987">
        <v>49.1</v>
      </c>
      <c r="F10" s="988"/>
      <c r="G10" s="988"/>
      <c r="H10" s="989"/>
      <c r="I10" s="988"/>
      <c r="J10" s="988"/>
      <c r="K10" s="988"/>
      <c r="L10" s="988"/>
      <c r="M10" s="259"/>
      <c r="N10" s="259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</row>
    <row r="11" spans="1:32" s="12" customFormat="1">
      <c r="A11" s="977"/>
      <c r="B11" s="726" t="s">
        <v>42</v>
      </c>
      <c r="C11" s="733" t="s">
        <v>43</v>
      </c>
      <c r="D11" s="736">
        <v>1.54E-2</v>
      </c>
      <c r="E11" s="728">
        <f>D11*E10</f>
        <v>0.75614000000000003</v>
      </c>
      <c r="F11" s="725"/>
      <c r="G11" s="725"/>
      <c r="H11" s="967"/>
      <c r="I11" s="729">
        <f>H11*E11</f>
        <v>0</v>
      </c>
      <c r="J11" s="725"/>
      <c r="K11" s="729"/>
      <c r="L11" s="729">
        <f>K11+I11+G11</f>
        <v>0</v>
      </c>
      <c r="M11" s="259"/>
      <c r="N11" s="259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</row>
    <row r="12" spans="1:32" s="12" customFormat="1">
      <c r="A12" s="829"/>
      <c r="B12" s="975" t="s">
        <v>339</v>
      </c>
      <c r="C12" s="975" t="s">
        <v>417</v>
      </c>
      <c r="D12" s="975"/>
      <c r="E12" s="978">
        <v>1</v>
      </c>
      <c r="F12" s="975"/>
      <c r="G12" s="975"/>
      <c r="H12" s="976"/>
      <c r="I12" s="975"/>
      <c r="J12" s="729"/>
      <c r="K12" s="729">
        <f>E12*J12</f>
        <v>0</v>
      </c>
      <c r="L12" s="729">
        <f>K12+I12+G12</f>
        <v>0</v>
      </c>
      <c r="M12" s="259"/>
      <c r="N12" s="259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2" s="12" customFormat="1">
      <c r="A13" s="829"/>
      <c r="B13" s="979"/>
      <c r="C13" s="829"/>
      <c r="D13" s="829"/>
      <c r="E13" s="829"/>
      <c r="F13" s="975"/>
      <c r="G13" s="975"/>
      <c r="H13" s="976"/>
      <c r="I13" s="980"/>
      <c r="J13" s="980"/>
      <c r="K13" s="729"/>
      <c r="L13" s="729"/>
      <c r="M13" s="259"/>
      <c r="N13" s="259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s="12" customFormat="1" ht="17.399999999999999">
      <c r="A14" s="990">
        <v>2</v>
      </c>
      <c r="B14" s="986" t="s">
        <v>340</v>
      </c>
      <c r="C14" s="985" t="s">
        <v>148</v>
      </c>
      <c r="D14" s="990"/>
      <c r="E14" s="991">
        <f>E10*0.07</f>
        <v>3.4370000000000003</v>
      </c>
      <c r="F14" s="988"/>
      <c r="G14" s="988"/>
      <c r="H14" s="989"/>
      <c r="I14" s="992"/>
      <c r="J14" s="992"/>
      <c r="K14" s="992"/>
      <c r="L14" s="992"/>
      <c r="M14" s="259"/>
      <c r="N14" s="259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2" s="12" customFormat="1">
      <c r="A15" s="977"/>
      <c r="B15" s="979" t="s">
        <v>52</v>
      </c>
      <c r="C15" s="829" t="s">
        <v>43</v>
      </c>
      <c r="D15" s="977">
        <v>1.54</v>
      </c>
      <c r="E15" s="981">
        <f>D15*E14</f>
        <v>5.2929800000000009</v>
      </c>
      <c r="F15" s="975"/>
      <c r="G15" s="975"/>
      <c r="H15" s="976"/>
      <c r="I15" s="980">
        <f>H15*E15</f>
        <v>0</v>
      </c>
      <c r="J15" s="980"/>
      <c r="K15" s="980"/>
      <c r="L15" s="980">
        <f>K15+I15+G15</f>
        <v>0</v>
      </c>
      <c r="M15" s="259"/>
      <c r="N15" s="259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</row>
    <row r="16" spans="1:32" s="982" customFormat="1" ht="16.2">
      <c r="A16" s="725"/>
      <c r="B16" s="730"/>
      <c r="C16" s="725"/>
      <c r="D16" s="733"/>
      <c r="E16" s="736"/>
      <c r="F16" s="725"/>
      <c r="G16" s="725"/>
      <c r="H16" s="967"/>
      <c r="I16" s="729"/>
      <c r="J16" s="729"/>
      <c r="K16" s="729"/>
      <c r="L16" s="729"/>
      <c r="M16" s="295"/>
      <c r="N16" s="295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</row>
    <row r="17" spans="1:32" s="5" customFormat="1" ht="15.75" customHeight="1">
      <c r="A17" s="721">
        <v>3</v>
      </c>
      <c r="B17" s="770" t="s">
        <v>341</v>
      </c>
      <c r="C17" s="721" t="s">
        <v>148</v>
      </c>
      <c r="D17" s="993"/>
      <c r="E17" s="948">
        <v>1.9</v>
      </c>
      <c r="F17" s="721"/>
      <c r="G17" s="721"/>
      <c r="H17" s="994"/>
      <c r="I17" s="724"/>
      <c r="J17" s="724"/>
      <c r="K17" s="724"/>
      <c r="L17" s="724"/>
      <c r="M17" s="983"/>
      <c r="N17" s="983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</row>
    <row r="18" spans="1:32" s="12" customFormat="1" ht="15" customHeight="1">
      <c r="A18" s="977"/>
      <c r="B18" s="979" t="s">
        <v>52</v>
      </c>
      <c r="C18" s="829" t="s">
        <v>43</v>
      </c>
      <c r="D18" s="977">
        <v>1.8</v>
      </c>
      <c r="E18" s="981">
        <f>D18*E17</f>
        <v>3.42</v>
      </c>
      <c r="F18" s="975"/>
      <c r="G18" s="975"/>
      <c r="H18" s="976"/>
      <c r="I18" s="980">
        <f>H18*E18</f>
        <v>0</v>
      </c>
      <c r="J18" s="980"/>
      <c r="K18" s="980"/>
      <c r="L18" s="980">
        <f>K18+I18+G18</f>
        <v>0</v>
      </c>
      <c r="M18" s="259"/>
      <c r="N18" s="259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</row>
    <row r="19" spans="1:32" s="982" customFormat="1" ht="17.399999999999999">
      <c r="A19" s="725"/>
      <c r="B19" s="730" t="s">
        <v>135</v>
      </c>
      <c r="C19" s="797" t="s">
        <v>342</v>
      </c>
      <c r="D19" s="786">
        <v>1.1000000000000001</v>
      </c>
      <c r="E19" s="736">
        <f>D19*E17</f>
        <v>2.09</v>
      </c>
      <c r="F19" s="725"/>
      <c r="G19" s="1199">
        <f t="shared" ref="G19" si="0">E19*F19</f>
        <v>0</v>
      </c>
      <c r="H19" s="984"/>
      <c r="I19" s="984"/>
      <c r="J19" s="984"/>
      <c r="K19" s="984"/>
      <c r="L19" s="1199">
        <f t="shared" ref="L19" si="1">K19+I19+G19</f>
        <v>0</v>
      </c>
      <c r="M19" s="295"/>
      <c r="N19" s="295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</row>
    <row r="20" spans="1:32" s="1089" customFormat="1" ht="25.2">
      <c r="A20" s="1083">
        <v>4</v>
      </c>
      <c r="B20" s="1084" t="s">
        <v>422</v>
      </c>
      <c r="C20" s="723" t="s">
        <v>263</v>
      </c>
      <c r="D20" s="1085"/>
      <c r="E20" s="1085">
        <f>1.316+0.234</f>
        <v>1.55</v>
      </c>
      <c r="F20" s="1085"/>
      <c r="G20" s="1086"/>
      <c r="H20" s="1087"/>
      <c r="I20" s="1086"/>
      <c r="J20" s="1085"/>
      <c r="K20" s="1085"/>
      <c r="L20" s="1085"/>
      <c r="M20" s="1088"/>
      <c r="N20" s="1088"/>
      <c r="O20" s="1088"/>
      <c r="P20" s="1088"/>
      <c r="Q20" s="1088"/>
      <c r="R20" s="1088"/>
      <c r="S20" s="1088"/>
      <c r="T20" s="1088"/>
      <c r="U20" s="1088"/>
      <c r="V20" s="1088"/>
      <c r="W20" s="1088"/>
      <c r="X20" s="1088"/>
      <c r="Y20" s="1088"/>
    </row>
    <row r="21" spans="1:32">
      <c r="A21" s="725"/>
      <c r="B21" s="966" t="s">
        <v>42</v>
      </c>
      <c r="C21" s="797" t="s">
        <v>43</v>
      </c>
      <c r="D21" s="797">
        <v>9.5399999999999991</v>
      </c>
      <c r="E21" s="797">
        <f>D21*E20</f>
        <v>14.786999999999999</v>
      </c>
      <c r="F21" s="725"/>
      <c r="G21" s="725"/>
      <c r="H21" s="967"/>
      <c r="I21" s="729">
        <f>H21*E21</f>
        <v>0</v>
      </c>
      <c r="J21" s="725"/>
      <c r="K21" s="729"/>
      <c r="L21" s="729">
        <f t="shared" ref="L21:L27" si="2">K21+I21+G21</f>
        <v>0</v>
      </c>
    </row>
    <row r="22" spans="1:32">
      <c r="A22" s="725"/>
      <c r="B22" s="966" t="s">
        <v>49</v>
      </c>
      <c r="C22" s="797" t="s">
        <v>2</v>
      </c>
      <c r="D22" s="960">
        <v>1.1299999999999999</v>
      </c>
      <c r="E22" s="968">
        <f>D22*E20</f>
        <v>1.7514999999999998</v>
      </c>
      <c r="F22" s="725"/>
      <c r="G22" s="725"/>
      <c r="H22" s="967"/>
      <c r="I22" s="725"/>
      <c r="J22" s="725"/>
      <c r="K22" s="729">
        <f>E22*J22</f>
        <v>0</v>
      </c>
      <c r="L22" s="729">
        <f t="shared" si="2"/>
        <v>0</v>
      </c>
    </row>
    <row r="23" spans="1:32" s="18" customFormat="1" ht="17.399999999999999">
      <c r="A23" s="725"/>
      <c r="B23" s="745" t="s">
        <v>160</v>
      </c>
      <c r="C23" s="727" t="s">
        <v>156</v>
      </c>
      <c r="D23" s="747">
        <v>1.0149999999999999</v>
      </c>
      <c r="E23" s="748">
        <f>D23*E20</f>
        <v>1.5732499999999998</v>
      </c>
      <c r="F23" s="739"/>
      <c r="G23" s="736">
        <f>E23*F23</f>
        <v>0</v>
      </c>
      <c r="H23" s="725"/>
      <c r="I23" s="729"/>
      <c r="J23" s="725"/>
      <c r="K23" s="725"/>
      <c r="L23" s="729">
        <f t="shared" si="2"/>
        <v>0</v>
      </c>
    </row>
    <row r="24" spans="1:32">
      <c r="A24" s="782"/>
      <c r="B24" s="726" t="s">
        <v>60</v>
      </c>
      <c r="C24" s="727" t="s">
        <v>48</v>
      </c>
      <c r="D24" s="747"/>
      <c r="E24" s="784">
        <v>4.7E-2</v>
      </c>
      <c r="F24" s="763"/>
      <c r="G24" s="780">
        <f>F24*E24</f>
        <v>0</v>
      </c>
      <c r="H24" s="780"/>
      <c r="I24" s="781"/>
      <c r="J24" s="780"/>
      <c r="K24" s="781"/>
      <c r="L24" s="781">
        <f t="shared" si="2"/>
        <v>0</v>
      </c>
      <c r="M24" s="259"/>
      <c r="N24" s="259"/>
      <c r="Y24" s="1"/>
    </row>
    <row r="25" spans="1:32">
      <c r="A25" s="969"/>
      <c r="B25" s="1090" t="s">
        <v>423</v>
      </c>
      <c r="C25" s="971" t="s">
        <v>62</v>
      </c>
      <c r="D25" s="970"/>
      <c r="E25" s="970">
        <v>1</v>
      </c>
      <c r="F25" s="970"/>
      <c r="G25" s="780">
        <f>F25*E25</f>
        <v>0</v>
      </c>
      <c r="H25" s="780"/>
      <c r="I25" s="781"/>
      <c r="J25" s="780"/>
      <c r="K25" s="781"/>
      <c r="L25" s="781">
        <f t="shared" si="2"/>
        <v>0</v>
      </c>
    </row>
    <row r="26" spans="1:32" ht="17.399999999999999">
      <c r="A26" s="969"/>
      <c r="B26" s="1090" t="s">
        <v>54</v>
      </c>
      <c r="C26" s="727" t="s">
        <v>156</v>
      </c>
      <c r="D26" s="970">
        <v>8.7999999999999995E-2</v>
      </c>
      <c r="E26" s="970">
        <f>D26*E20</f>
        <v>0.13639999999999999</v>
      </c>
      <c r="F26" s="970"/>
      <c r="G26" s="780">
        <f>F26*E26</f>
        <v>0</v>
      </c>
      <c r="H26" s="780"/>
      <c r="I26" s="781"/>
      <c r="J26" s="780"/>
      <c r="K26" s="781"/>
      <c r="L26" s="781">
        <f t="shared" si="2"/>
        <v>0</v>
      </c>
    </row>
    <row r="27" spans="1:32">
      <c r="A27" s="758"/>
      <c r="B27" s="773" t="s">
        <v>51</v>
      </c>
      <c r="C27" s="797" t="s">
        <v>2</v>
      </c>
      <c r="D27" s="960">
        <v>1.99</v>
      </c>
      <c r="E27" s="961">
        <f>D27*E20</f>
        <v>3.0845000000000002</v>
      </c>
      <c r="F27" s="962"/>
      <c r="G27" s="729">
        <f>E27*F27</f>
        <v>0</v>
      </c>
      <c r="H27" s="963"/>
      <c r="I27" s="758"/>
      <c r="J27" s="758"/>
      <c r="K27" s="758"/>
      <c r="L27" s="729">
        <f t="shared" si="2"/>
        <v>0</v>
      </c>
    </row>
    <row r="28" spans="1:32" s="3" customFormat="1" ht="17.399999999999999">
      <c r="A28" s="740">
        <v>5</v>
      </c>
      <c r="B28" s="964" t="s">
        <v>337</v>
      </c>
      <c r="C28" s="723" t="s">
        <v>263</v>
      </c>
      <c r="D28" s="742"/>
      <c r="E28" s="742">
        <v>1.65</v>
      </c>
      <c r="F28" s="742"/>
      <c r="G28" s="742"/>
      <c r="H28" s="965"/>
      <c r="I28" s="742"/>
      <c r="J28" s="743"/>
      <c r="K28" s="742"/>
      <c r="L28" s="742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32" ht="17.399999999999999">
      <c r="A29" s="725"/>
      <c r="B29" s="966" t="s">
        <v>42</v>
      </c>
      <c r="C29" s="727" t="s">
        <v>156</v>
      </c>
      <c r="D29" s="797">
        <v>1</v>
      </c>
      <c r="E29" s="797">
        <f>D29*E28</f>
        <v>1.65</v>
      </c>
      <c r="F29" s="725"/>
      <c r="G29" s="725"/>
      <c r="H29" s="967"/>
      <c r="I29" s="729">
        <f>H29*E29</f>
        <v>0</v>
      </c>
      <c r="J29" s="725"/>
      <c r="K29" s="729"/>
      <c r="L29" s="729">
        <f>K29+I29+G29</f>
        <v>0</v>
      </c>
    </row>
    <row r="30" spans="1:32">
      <c r="A30" s="725"/>
      <c r="B30" s="966" t="s">
        <v>49</v>
      </c>
      <c r="C30" s="797" t="s">
        <v>2</v>
      </c>
      <c r="D30" s="960">
        <v>0.38500000000000001</v>
      </c>
      <c r="E30" s="968">
        <f>D30*E28</f>
        <v>0.63524999999999998</v>
      </c>
      <c r="F30" s="725"/>
      <c r="G30" s="725"/>
      <c r="H30" s="967"/>
      <c r="I30" s="725"/>
      <c r="J30" s="725"/>
      <c r="K30" s="729">
        <f>E30*J30</f>
        <v>0</v>
      </c>
      <c r="L30" s="729">
        <f>K30+I30+G30</f>
        <v>0</v>
      </c>
    </row>
    <row r="31" spans="1:32" s="18" customFormat="1" ht="17.399999999999999">
      <c r="A31" s="725"/>
      <c r="B31" s="745" t="s">
        <v>160</v>
      </c>
      <c r="C31" s="727" t="s">
        <v>156</v>
      </c>
      <c r="D31" s="747">
        <v>1.0149999999999999</v>
      </c>
      <c r="E31" s="748">
        <f>D31*E28</f>
        <v>1.6747499999999997</v>
      </c>
      <c r="F31" s="739"/>
      <c r="G31" s="736">
        <f>E31*F31</f>
        <v>0</v>
      </c>
      <c r="H31" s="725"/>
      <c r="I31" s="729"/>
      <c r="J31" s="725"/>
      <c r="K31" s="725"/>
      <c r="L31" s="729">
        <f>K31+I31+G31</f>
        <v>0</v>
      </c>
    </row>
    <row r="32" spans="1:32" s="251" customFormat="1" ht="14.25" customHeight="1">
      <c r="A32" s="733"/>
      <c r="B32" s="749" t="s">
        <v>271</v>
      </c>
      <c r="C32" s="725" t="s">
        <v>48</v>
      </c>
      <c r="D32" s="738"/>
      <c r="E32" s="755">
        <v>1.7999999999999999E-2</v>
      </c>
      <c r="F32" s="763"/>
      <c r="G32" s="729">
        <f>F32*E32</f>
        <v>0</v>
      </c>
      <c r="H32" s="737"/>
      <c r="I32" s="738"/>
      <c r="J32" s="744"/>
      <c r="K32" s="744"/>
      <c r="L32" s="729">
        <f t="shared" ref="L32" si="3">K32+I32+G32</f>
        <v>0</v>
      </c>
    </row>
    <row r="33" spans="1:22" ht="17.399999999999999">
      <c r="A33" s="969"/>
      <c r="B33" s="995" t="s">
        <v>54</v>
      </c>
      <c r="C33" s="727" t="s">
        <v>156</v>
      </c>
      <c r="D33" s="970">
        <v>7.4999999999999997E-2</v>
      </c>
      <c r="E33" s="970">
        <f>D33*E28</f>
        <v>0.12374999999999999</v>
      </c>
      <c r="F33" s="970"/>
      <c r="G33" s="780">
        <f>F33*E33</f>
        <v>0</v>
      </c>
      <c r="H33" s="780"/>
      <c r="I33" s="781"/>
      <c r="J33" s="780"/>
      <c r="K33" s="781"/>
      <c r="L33" s="781">
        <f t="shared" ref="L33:L38" si="4">K33+I33+G33</f>
        <v>0</v>
      </c>
    </row>
    <row r="34" spans="1:22" ht="17.399999999999999">
      <c r="A34" s="969"/>
      <c r="B34" s="995" t="s">
        <v>294</v>
      </c>
      <c r="C34" s="727" t="s">
        <v>155</v>
      </c>
      <c r="D34" s="970"/>
      <c r="E34" s="970">
        <v>1.36</v>
      </c>
      <c r="F34" s="970"/>
      <c r="G34" s="780">
        <f>F34*E34</f>
        <v>0</v>
      </c>
      <c r="H34" s="780"/>
      <c r="I34" s="781"/>
      <c r="J34" s="780"/>
      <c r="K34" s="781"/>
      <c r="L34" s="781">
        <f t="shared" si="4"/>
        <v>0</v>
      </c>
    </row>
    <row r="35" spans="1:22" ht="17.399999999999999">
      <c r="A35" s="969"/>
      <c r="B35" s="995" t="s">
        <v>343</v>
      </c>
      <c r="C35" s="727" t="s">
        <v>155</v>
      </c>
      <c r="D35" s="970"/>
      <c r="E35" s="970">
        <v>0.78</v>
      </c>
      <c r="F35" s="970"/>
      <c r="G35" s="70">
        <f>E35*F35</f>
        <v>0</v>
      </c>
      <c r="H35" s="255"/>
      <c r="I35" s="491"/>
      <c r="J35" s="491"/>
      <c r="K35" s="491"/>
      <c r="L35" s="70">
        <f t="shared" si="4"/>
        <v>0</v>
      </c>
    </row>
    <row r="36" spans="1:22">
      <c r="A36" s="969"/>
      <c r="B36" s="995" t="s">
        <v>414</v>
      </c>
      <c r="C36" s="727" t="s">
        <v>102</v>
      </c>
      <c r="D36" s="970"/>
      <c r="E36" s="970">
        <v>1</v>
      </c>
      <c r="F36" s="970"/>
      <c r="G36" s="70">
        <f>E36*F36</f>
        <v>0</v>
      </c>
      <c r="H36" s="255"/>
      <c r="I36" s="491"/>
      <c r="J36" s="491"/>
      <c r="K36" s="491"/>
      <c r="L36" s="70">
        <f t="shared" si="4"/>
        <v>0</v>
      </c>
    </row>
    <row r="37" spans="1:22">
      <c r="A37" s="969"/>
      <c r="B37" s="1060" t="s">
        <v>415</v>
      </c>
      <c r="C37" s="727" t="s">
        <v>102</v>
      </c>
      <c r="D37" s="970"/>
      <c r="E37" s="970">
        <v>2</v>
      </c>
      <c r="F37" s="970"/>
      <c r="G37" s="70">
        <f>E37*F37</f>
        <v>0</v>
      </c>
      <c r="H37" s="255"/>
      <c r="I37" s="491"/>
      <c r="J37" s="491"/>
      <c r="K37" s="491"/>
      <c r="L37" s="70">
        <f t="shared" si="4"/>
        <v>0</v>
      </c>
    </row>
    <row r="38" spans="1:22">
      <c r="A38" s="491"/>
      <c r="B38" s="149" t="s">
        <v>51</v>
      </c>
      <c r="C38" s="146" t="s">
        <v>2</v>
      </c>
      <c r="D38" s="233">
        <v>1.99</v>
      </c>
      <c r="E38" s="234">
        <f>D38*E29</f>
        <v>3.2834999999999996</v>
      </c>
      <c r="F38" s="230"/>
      <c r="G38" s="70">
        <f>E38*F38</f>
        <v>0</v>
      </c>
      <c r="H38" s="255"/>
      <c r="I38" s="491"/>
      <c r="J38" s="491"/>
      <c r="K38" s="491"/>
      <c r="L38" s="70">
        <f t="shared" si="4"/>
        <v>0</v>
      </c>
    </row>
    <row r="39" spans="1:22" s="12" customFormat="1" ht="30">
      <c r="A39" s="311">
        <v>6</v>
      </c>
      <c r="B39" s="302" t="s">
        <v>68</v>
      </c>
      <c r="C39" s="311" t="s">
        <v>153</v>
      </c>
      <c r="D39" s="410"/>
      <c r="E39" s="395">
        <v>1.36</v>
      </c>
      <c r="F39" s="317"/>
      <c r="G39" s="318"/>
      <c r="H39" s="317"/>
      <c r="I39" s="318"/>
      <c r="J39" s="317"/>
      <c r="K39" s="318"/>
      <c r="L39" s="318"/>
      <c r="M39" s="150"/>
      <c r="N39" s="124"/>
      <c r="O39" s="192"/>
      <c r="P39" s="201"/>
      <c r="Q39" s="192"/>
      <c r="R39" s="192"/>
      <c r="S39" s="199"/>
      <c r="T39" s="277"/>
      <c r="U39" s="192"/>
      <c r="V39" s="192"/>
    </row>
    <row r="40" spans="1:22" s="12" customFormat="1" ht="17.399999999999999">
      <c r="A40" s="725"/>
      <c r="B40" s="749" t="s">
        <v>42</v>
      </c>
      <c r="C40" s="725" t="s">
        <v>155</v>
      </c>
      <c r="D40" s="794">
        <v>1</v>
      </c>
      <c r="E40" s="765">
        <f>D40*E39</f>
        <v>1.36</v>
      </c>
      <c r="F40" s="736"/>
      <c r="G40" s="729"/>
      <c r="H40" s="736"/>
      <c r="I40" s="729">
        <f>H40*E40</f>
        <v>0</v>
      </c>
      <c r="J40" s="736"/>
      <c r="K40" s="729"/>
      <c r="L40" s="729">
        <f>K40+I40+G40</f>
        <v>0</v>
      </c>
      <c r="M40" s="218"/>
      <c r="N40" s="124"/>
      <c r="O40" s="192"/>
      <c r="P40" s="201"/>
      <c r="Q40" s="192"/>
      <c r="R40" s="192"/>
      <c r="S40" s="253"/>
      <c r="T40" s="277"/>
      <c r="U40" s="192"/>
      <c r="V40" s="192"/>
    </row>
    <row r="41" spans="1:22" s="12" customFormat="1">
      <c r="A41" s="111"/>
      <c r="B41" s="117" t="s">
        <v>49</v>
      </c>
      <c r="C41" s="954" t="s">
        <v>67</v>
      </c>
      <c r="D41" s="611">
        <v>2.9999999999999997E-4</v>
      </c>
      <c r="E41" s="97">
        <f>D41*E39</f>
        <v>4.08E-4</v>
      </c>
      <c r="F41" s="96"/>
      <c r="G41" s="151"/>
      <c r="H41" s="97"/>
      <c r="I41" s="132"/>
      <c r="J41" s="97"/>
      <c r="K41" s="123">
        <f>J41*E41</f>
        <v>0</v>
      </c>
      <c r="L41" s="123">
        <f>K41+I41+G41</f>
        <v>0</v>
      </c>
      <c r="M41" s="218"/>
      <c r="N41" s="124"/>
      <c r="O41" s="192"/>
      <c r="P41" s="201"/>
      <c r="Q41" s="192"/>
      <c r="R41" s="192"/>
      <c r="S41" s="192"/>
      <c r="T41" s="277"/>
      <c r="U41" s="192"/>
      <c r="V41" s="192"/>
    </row>
    <row r="42" spans="1:22" s="12" customFormat="1">
      <c r="A42" s="954"/>
      <c r="B42" s="52" t="s">
        <v>361</v>
      </c>
      <c r="C42" s="954" t="s">
        <v>58</v>
      </c>
      <c r="D42" s="97">
        <f>(25.1+0.2+2.7)*0.01</f>
        <v>0.28000000000000003</v>
      </c>
      <c r="E42" s="97">
        <f>D42*E39</f>
        <v>0.38080000000000008</v>
      </c>
      <c r="F42" s="121"/>
      <c r="G42" s="70">
        <f>F42*E42</f>
        <v>0</v>
      </c>
      <c r="H42" s="121"/>
      <c r="I42" s="70"/>
      <c r="J42" s="121"/>
      <c r="K42" s="70"/>
      <c r="L42" s="70">
        <f>K42+I42+G42</f>
        <v>0</v>
      </c>
      <c r="M42" s="1180"/>
      <c r="N42" s="1181"/>
      <c r="O42" s="192"/>
      <c r="P42" s="201"/>
      <c r="Q42" s="192"/>
      <c r="R42" s="192"/>
      <c r="S42" s="192"/>
      <c r="T42" s="277"/>
      <c r="U42" s="192"/>
      <c r="V42" s="192"/>
    </row>
    <row r="43" spans="1:22" s="359" customFormat="1" ht="21.9" customHeight="1">
      <c r="A43" s="725"/>
      <c r="B43" s="745" t="s">
        <v>69</v>
      </c>
      <c r="C43" s="767" t="s">
        <v>58</v>
      </c>
      <c r="D43" s="768">
        <v>0.15</v>
      </c>
      <c r="E43" s="769">
        <f>D43*E39</f>
        <v>0.20400000000000001</v>
      </c>
      <c r="F43" s="729"/>
      <c r="G43" s="729">
        <f>F43*E43</f>
        <v>0</v>
      </c>
      <c r="H43" s="725"/>
      <c r="I43" s="729"/>
      <c r="J43" s="725"/>
      <c r="K43" s="725"/>
      <c r="L43" s="729">
        <f>K43+I43+G43</f>
        <v>0</v>
      </c>
      <c r="M43" s="247"/>
    </row>
    <row r="44" spans="1:22" s="12" customFormat="1">
      <c r="A44" s="111"/>
      <c r="B44" s="152" t="s">
        <v>51</v>
      </c>
      <c r="C44" s="954" t="s">
        <v>2</v>
      </c>
      <c r="D44" s="611">
        <v>1.9E-3</v>
      </c>
      <c r="E44" s="97">
        <f>D44*E39</f>
        <v>2.5840000000000004E-3</v>
      </c>
      <c r="F44" s="97"/>
      <c r="G44" s="123">
        <f>F44*E44</f>
        <v>0</v>
      </c>
      <c r="H44" s="97"/>
      <c r="I44" s="132"/>
      <c r="J44" s="131"/>
      <c r="K44" s="132"/>
      <c r="L44" s="123">
        <f>K44+I44+G44</f>
        <v>0</v>
      </c>
      <c r="M44" s="218"/>
      <c r="N44" s="124"/>
      <c r="O44" s="192"/>
      <c r="P44" s="201"/>
      <c r="Q44" s="192"/>
      <c r="R44" s="192"/>
      <c r="S44" s="192"/>
      <c r="T44" s="277"/>
      <c r="U44" s="192"/>
      <c r="V44" s="192"/>
    </row>
    <row r="45" spans="1:22">
      <c r="A45" s="492">
        <v>7</v>
      </c>
      <c r="B45" s="1131" t="s">
        <v>455</v>
      </c>
      <c r="C45" s="1127" t="s">
        <v>66</v>
      </c>
      <c r="D45" s="1128"/>
      <c r="E45" s="1132">
        <v>25</v>
      </c>
      <c r="F45" s="1133"/>
      <c r="G45" s="1093"/>
      <c r="H45" s="994"/>
      <c r="I45" s="721"/>
      <c r="J45" s="721"/>
      <c r="K45" s="721"/>
      <c r="L45" s="1093"/>
    </row>
    <row r="46" spans="1:22">
      <c r="A46" s="725"/>
      <c r="B46" s="966" t="s">
        <v>42</v>
      </c>
      <c r="C46" s="797" t="s">
        <v>43</v>
      </c>
      <c r="D46" s="797">
        <v>0.11899999999999999</v>
      </c>
      <c r="E46" s="797">
        <f>D46*E45</f>
        <v>2.9749999999999996</v>
      </c>
      <c r="F46" s="725"/>
      <c r="G46" s="725"/>
      <c r="H46" s="967"/>
      <c r="I46" s="729">
        <f>H46*E46</f>
        <v>0</v>
      </c>
      <c r="J46" s="725"/>
      <c r="K46" s="729"/>
      <c r="L46" s="729">
        <f>K46+I46+G46</f>
        <v>0</v>
      </c>
    </row>
    <row r="47" spans="1:22">
      <c r="A47" s="725"/>
      <c r="B47" s="966" t="s">
        <v>49</v>
      </c>
      <c r="C47" s="797" t="s">
        <v>2</v>
      </c>
      <c r="D47" s="960">
        <v>6.7500000000000004E-2</v>
      </c>
      <c r="E47" s="968">
        <f>D47*E45</f>
        <v>1.6875</v>
      </c>
      <c r="F47" s="725"/>
      <c r="G47" s="725"/>
      <c r="H47" s="967"/>
      <c r="I47" s="725"/>
      <c r="J47" s="725"/>
      <c r="K47" s="729">
        <f>E47*J47</f>
        <v>0</v>
      </c>
      <c r="L47" s="729">
        <f>K47+I47+G47</f>
        <v>0</v>
      </c>
    </row>
    <row r="48" spans="1:22">
      <c r="A48" s="612"/>
      <c r="B48" s="773" t="s">
        <v>456</v>
      </c>
      <c r="C48" s="797" t="s">
        <v>66</v>
      </c>
      <c r="D48" s="960">
        <v>1</v>
      </c>
      <c r="E48" s="961">
        <f>D48*E45</f>
        <v>25</v>
      </c>
      <c r="F48" s="729"/>
      <c r="G48" s="729">
        <f>E48*F48</f>
        <v>0</v>
      </c>
      <c r="H48" s="963"/>
      <c r="I48" s="758"/>
      <c r="J48" s="758"/>
      <c r="K48" s="758"/>
      <c r="L48" s="729">
        <f>K48+I48+G48</f>
        <v>0</v>
      </c>
    </row>
    <row r="49" spans="1:20" ht="16.8">
      <c r="A49" s="612"/>
      <c r="B49" s="1134" t="s">
        <v>237</v>
      </c>
      <c r="C49" s="797" t="s">
        <v>62</v>
      </c>
      <c r="D49" s="960"/>
      <c r="E49" s="961">
        <v>2</v>
      </c>
      <c r="F49" s="725"/>
      <c r="G49" s="729">
        <f t="shared" ref="G49:G51" si="5">E49*F49</f>
        <v>0</v>
      </c>
      <c r="H49" s="963"/>
      <c r="I49" s="758"/>
      <c r="J49" s="758"/>
      <c r="K49" s="758"/>
      <c r="L49" s="729">
        <f t="shared" ref="L49:L51" si="6">K49+I49+G49</f>
        <v>0</v>
      </c>
    </row>
    <row r="50" spans="1:20" ht="16.8">
      <c r="A50" s="612"/>
      <c r="B50" s="1134" t="s">
        <v>239</v>
      </c>
      <c r="C50" s="797" t="s">
        <v>62</v>
      </c>
      <c r="D50" s="960"/>
      <c r="E50" s="961">
        <v>4</v>
      </c>
      <c r="F50" s="725"/>
      <c r="G50" s="729">
        <f t="shared" si="5"/>
        <v>0</v>
      </c>
      <c r="H50" s="963"/>
      <c r="I50" s="758"/>
      <c r="J50" s="758"/>
      <c r="K50" s="758"/>
      <c r="L50" s="729">
        <f t="shared" si="6"/>
        <v>0</v>
      </c>
    </row>
    <row r="51" spans="1:20" ht="16.8">
      <c r="A51" s="612"/>
      <c r="B51" s="1134" t="s">
        <v>238</v>
      </c>
      <c r="C51" s="797" t="s">
        <v>62</v>
      </c>
      <c r="D51" s="960"/>
      <c r="E51" s="961">
        <v>1</v>
      </c>
      <c r="F51" s="725"/>
      <c r="G51" s="729">
        <f t="shared" si="5"/>
        <v>0</v>
      </c>
      <c r="H51" s="963"/>
      <c r="I51" s="758"/>
      <c r="J51" s="758"/>
      <c r="K51" s="758"/>
      <c r="L51" s="729">
        <f t="shared" si="6"/>
        <v>0</v>
      </c>
    </row>
    <row r="52" spans="1:20">
      <c r="A52" s="758"/>
      <c r="B52" s="773" t="s">
        <v>51</v>
      </c>
      <c r="C52" s="797" t="s">
        <v>2</v>
      </c>
      <c r="D52" s="960">
        <v>5.9299999999999999E-2</v>
      </c>
      <c r="E52" s="961">
        <f>D52*E45</f>
        <v>1.4824999999999999</v>
      </c>
      <c r="F52" s="962"/>
      <c r="G52" s="729">
        <f>E52*F52</f>
        <v>0</v>
      </c>
      <c r="H52" s="963"/>
      <c r="I52" s="758"/>
      <c r="J52" s="758"/>
      <c r="K52" s="758"/>
      <c r="L52" s="729">
        <f>K52+I52+G52</f>
        <v>0</v>
      </c>
    </row>
    <row r="53" spans="1:20">
      <c r="A53" s="758"/>
      <c r="B53" s="773"/>
      <c r="C53" s="797"/>
      <c r="D53" s="960"/>
      <c r="E53" s="961"/>
      <c r="F53" s="962"/>
      <c r="G53" s="725"/>
      <c r="H53" s="963"/>
      <c r="I53" s="758"/>
      <c r="J53" s="758"/>
      <c r="K53" s="758"/>
      <c r="L53" s="729"/>
    </row>
    <row r="54" spans="1:20" ht="45" customHeight="1">
      <c r="A54" s="303">
        <v>8</v>
      </c>
      <c r="B54" s="322" t="s">
        <v>128</v>
      </c>
      <c r="C54" s="323" t="s">
        <v>66</v>
      </c>
      <c r="D54" s="323"/>
      <c r="E54" s="323">
        <v>12</v>
      </c>
      <c r="F54" s="303"/>
      <c r="G54" s="303"/>
      <c r="H54" s="335"/>
      <c r="I54" s="303"/>
      <c r="J54" s="303"/>
      <c r="K54" s="303"/>
      <c r="L54" s="303"/>
    </row>
    <row r="55" spans="1:20">
      <c r="A55" s="954"/>
      <c r="B55" s="232" t="s">
        <v>42</v>
      </c>
      <c r="C55" s="146" t="s">
        <v>43</v>
      </c>
      <c r="D55" s="146">
        <v>0.11899999999999999</v>
      </c>
      <c r="E55" s="146">
        <f>D55*E54</f>
        <v>1.4279999999999999</v>
      </c>
      <c r="F55" s="954"/>
      <c r="G55" s="954"/>
      <c r="H55" s="953"/>
      <c r="I55" s="70">
        <f>H55*E55</f>
        <v>0</v>
      </c>
      <c r="J55" s="954"/>
      <c r="K55" s="70"/>
      <c r="L55" s="70">
        <f>K55+I55+G55</f>
        <v>0</v>
      </c>
    </row>
    <row r="56" spans="1:20">
      <c r="A56" s="954"/>
      <c r="B56" s="232" t="s">
        <v>49</v>
      </c>
      <c r="C56" s="146" t="s">
        <v>2</v>
      </c>
      <c r="D56" s="233">
        <v>6.7500000000000004E-2</v>
      </c>
      <c r="E56" s="242">
        <f>D56*E54</f>
        <v>0.81</v>
      </c>
      <c r="F56" s="954"/>
      <c r="G56" s="954"/>
      <c r="H56" s="953"/>
      <c r="I56" s="954"/>
      <c r="J56" s="954"/>
      <c r="K56" s="70">
        <f>E56*J56</f>
        <v>0</v>
      </c>
      <c r="L56" s="70">
        <f>K56+I56+G56</f>
        <v>0</v>
      </c>
    </row>
    <row r="57" spans="1:20">
      <c r="A57" s="954"/>
      <c r="B57" s="232" t="s">
        <v>158</v>
      </c>
      <c r="C57" s="146" t="s">
        <v>66</v>
      </c>
      <c r="D57" s="233">
        <v>1</v>
      </c>
      <c r="E57" s="234">
        <f>D57*E54</f>
        <v>12</v>
      </c>
      <c r="F57" s="70"/>
      <c r="G57" s="121">
        <f>E57*F57</f>
        <v>0</v>
      </c>
      <c r="H57" s="1014"/>
      <c r="I57" s="954"/>
      <c r="J57" s="954"/>
      <c r="K57" s="954"/>
      <c r="L57" s="70">
        <f t="shared" ref="L57:L60" si="7">K57+I57+G57</f>
        <v>0</v>
      </c>
    </row>
    <row r="58" spans="1:20" ht="16.2">
      <c r="A58" s="954"/>
      <c r="B58" s="639" t="s">
        <v>236</v>
      </c>
      <c r="C58" s="146" t="s">
        <v>62</v>
      </c>
      <c r="D58" s="146"/>
      <c r="E58" s="146">
        <v>4</v>
      </c>
      <c r="F58" s="1015"/>
      <c r="G58" s="70">
        <f>E58*F58</f>
        <v>0</v>
      </c>
      <c r="H58" s="1014"/>
      <c r="I58" s="954"/>
      <c r="J58" s="954"/>
      <c r="K58" s="954"/>
      <c r="L58" s="70">
        <f t="shared" si="7"/>
        <v>0</v>
      </c>
    </row>
    <row r="59" spans="1:20" ht="16.2">
      <c r="A59" s="954"/>
      <c r="B59" s="639" t="s">
        <v>172</v>
      </c>
      <c r="C59" s="146" t="s">
        <v>62</v>
      </c>
      <c r="D59" s="146"/>
      <c r="E59" s="146">
        <v>2</v>
      </c>
      <c r="F59" s="1015"/>
      <c r="G59" s="70">
        <f>E59*F59</f>
        <v>0</v>
      </c>
      <c r="H59" s="1014"/>
      <c r="I59" s="954"/>
      <c r="J59" s="954"/>
      <c r="K59" s="954"/>
      <c r="L59" s="70">
        <f t="shared" si="7"/>
        <v>0</v>
      </c>
    </row>
    <row r="60" spans="1:20" ht="16.2">
      <c r="A60" s="954"/>
      <c r="B60" s="236" t="s">
        <v>159</v>
      </c>
      <c r="C60" s="146" t="s">
        <v>62</v>
      </c>
      <c r="D60" s="146"/>
      <c r="E60" s="146">
        <v>2</v>
      </c>
      <c r="F60" s="1015"/>
      <c r="G60" s="70">
        <f>E60*F60</f>
        <v>0</v>
      </c>
      <c r="H60" s="1014"/>
      <c r="I60" s="954"/>
      <c r="J60" s="954"/>
      <c r="K60" s="954"/>
      <c r="L60" s="70">
        <f t="shared" si="7"/>
        <v>0</v>
      </c>
    </row>
    <row r="61" spans="1:20">
      <c r="A61" s="491"/>
      <c r="B61" s="149" t="s">
        <v>51</v>
      </c>
      <c r="C61" s="146" t="s">
        <v>2</v>
      </c>
      <c r="D61" s="233">
        <v>2.16E-3</v>
      </c>
      <c r="E61" s="234">
        <f>D61*E54</f>
        <v>2.5919999999999999E-2</v>
      </c>
      <c r="F61" s="230"/>
      <c r="G61" s="70">
        <f>E61*F61</f>
        <v>0</v>
      </c>
      <c r="H61" s="255"/>
      <c r="I61" s="491"/>
      <c r="J61" s="491"/>
      <c r="K61" s="491"/>
      <c r="L61" s="70">
        <f>K61+I61+G61</f>
        <v>0</v>
      </c>
    </row>
    <row r="62" spans="1:20" s="377" customFormat="1">
      <c r="A62" s="625"/>
      <c r="B62" s="626"/>
      <c r="C62" s="620"/>
      <c r="D62" s="627"/>
      <c r="E62" s="628"/>
      <c r="F62" s="628"/>
      <c r="G62" s="621"/>
      <c r="H62" s="628"/>
      <c r="I62" s="624"/>
      <c r="J62" s="628"/>
      <c r="K62" s="618"/>
      <c r="L62" s="623"/>
    </row>
    <row r="63" spans="1:20">
      <c r="A63" s="348"/>
      <c r="B63" s="348" t="s">
        <v>123</v>
      </c>
      <c r="C63" s="348"/>
      <c r="D63" s="349"/>
      <c r="E63" s="348"/>
      <c r="F63" s="348"/>
      <c r="G63" s="350">
        <f>SUM(G11:G62)</f>
        <v>0</v>
      </c>
      <c r="H63" s="351"/>
      <c r="I63" s="350">
        <f>SUM(I11:I62)</f>
        <v>0</v>
      </c>
      <c r="J63" s="350"/>
      <c r="K63" s="350">
        <f>SUM(K11:K62)</f>
        <v>0</v>
      </c>
      <c r="L63" s="350">
        <f>SUM(L11:L62)</f>
        <v>0</v>
      </c>
    </row>
    <row r="64" spans="1:20" s="192" customFormat="1" ht="16.5" customHeight="1">
      <c r="A64" s="733"/>
      <c r="B64" s="745" t="s">
        <v>336</v>
      </c>
      <c r="C64" s="958">
        <v>0.05</v>
      </c>
      <c r="D64" s="735"/>
      <c r="E64" s="736"/>
      <c r="F64" s="736"/>
      <c r="G64" s="739"/>
      <c r="H64" s="736"/>
      <c r="I64" s="739"/>
      <c r="J64" s="738"/>
      <c r="K64" s="739"/>
      <c r="L64" s="739">
        <f>G63*C64</f>
        <v>0</v>
      </c>
      <c r="M64" s="150"/>
      <c r="N64" s="124"/>
      <c r="T64" s="277"/>
    </row>
    <row r="65" spans="1:20" s="192" customFormat="1" ht="16.5" customHeight="1">
      <c r="A65" s="733"/>
      <c r="B65" s="126" t="s">
        <v>21</v>
      </c>
      <c r="C65" s="725"/>
      <c r="D65" s="735"/>
      <c r="E65" s="736"/>
      <c r="F65" s="736"/>
      <c r="G65" s="739"/>
      <c r="H65" s="736"/>
      <c r="I65" s="739"/>
      <c r="J65" s="738"/>
      <c r="K65" s="739"/>
      <c r="L65" s="959">
        <f>L63+L64</f>
        <v>0</v>
      </c>
      <c r="M65" s="150"/>
      <c r="N65" s="124"/>
      <c r="T65" s="277"/>
    </row>
    <row r="66" spans="1:20">
      <c r="A66" s="491"/>
      <c r="B66" s="954" t="s">
        <v>93</v>
      </c>
      <c r="C66" s="209">
        <v>0.1</v>
      </c>
      <c r="D66" s="954"/>
      <c r="E66" s="209"/>
      <c r="F66" s="954"/>
      <c r="G66" s="210"/>
      <c r="H66" s="953"/>
      <c r="I66" s="210"/>
      <c r="J66" s="210"/>
      <c r="K66" s="210"/>
      <c r="L66" s="210">
        <f>L65*C66</f>
        <v>0</v>
      </c>
    </row>
    <row r="67" spans="1:20">
      <c r="A67" s="491"/>
      <c r="B67" s="954" t="s">
        <v>21</v>
      </c>
      <c r="C67" s="491"/>
      <c r="D67" s="954"/>
      <c r="E67" s="491"/>
      <c r="F67" s="491"/>
      <c r="G67" s="211"/>
      <c r="H67" s="255"/>
      <c r="I67" s="211"/>
      <c r="J67" s="211"/>
      <c r="K67" s="211"/>
      <c r="L67" s="211">
        <f>L65+L66</f>
        <v>0</v>
      </c>
    </row>
    <row r="68" spans="1:20">
      <c r="A68" s="491"/>
      <c r="B68" s="954" t="s">
        <v>96</v>
      </c>
      <c r="C68" s="209">
        <v>0.08</v>
      </c>
      <c r="D68" s="954"/>
      <c r="E68" s="209"/>
      <c r="F68" s="954"/>
      <c r="G68" s="210"/>
      <c r="H68" s="953"/>
      <c r="I68" s="210"/>
      <c r="J68" s="210"/>
      <c r="K68" s="210"/>
      <c r="L68" s="210">
        <f>L67*C68</f>
        <v>0</v>
      </c>
    </row>
    <row r="69" spans="1:20">
      <c r="A69" s="491"/>
      <c r="B69" s="954" t="s">
        <v>21</v>
      </c>
      <c r="C69" s="491"/>
      <c r="D69" s="954"/>
      <c r="E69" s="491"/>
      <c r="F69" s="491"/>
      <c r="G69" s="211"/>
      <c r="H69" s="255"/>
      <c r="I69" s="211"/>
      <c r="J69" s="211"/>
      <c r="K69" s="211"/>
      <c r="L69" s="211">
        <f>SUM(L67:L68)</f>
        <v>0</v>
      </c>
    </row>
    <row r="70" spans="1:20">
      <c r="A70" s="46"/>
      <c r="B70" s="260"/>
      <c r="C70" s="48"/>
      <c r="D70" s="260"/>
      <c r="E70" s="260"/>
      <c r="F70" s="260"/>
      <c r="G70" s="260"/>
      <c r="H70" s="271"/>
      <c r="I70" s="260"/>
      <c r="J70" s="224"/>
      <c r="K70" s="260"/>
      <c r="L70" s="260"/>
    </row>
    <row r="71" spans="1:20">
      <c r="A71" s="46"/>
      <c r="B71" s="260"/>
      <c r="C71" s="48"/>
      <c r="D71" s="260"/>
      <c r="E71" s="260"/>
      <c r="F71" s="260"/>
      <c r="G71" s="260"/>
      <c r="H71" s="271"/>
      <c r="I71" s="260"/>
      <c r="J71" s="224"/>
      <c r="K71" s="260"/>
      <c r="L71" s="260"/>
    </row>
    <row r="72" spans="1:20">
      <c r="A72" s="46"/>
      <c r="B72" s="260"/>
      <c r="C72" s="48"/>
      <c r="D72" s="260"/>
      <c r="E72" s="260"/>
      <c r="F72" s="260"/>
      <c r="G72" s="260"/>
      <c r="H72" s="271"/>
      <c r="I72" s="260"/>
      <c r="J72" s="224"/>
      <c r="K72" s="260"/>
      <c r="L72" s="260"/>
    </row>
    <row r="73" spans="1:20">
      <c r="A73" s="46"/>
      <c r="B73" s="260"/>
      <c r="C73" s="48"/>
      <c r="D73" s="260"/>
      <c r="E73" s="260"/>
      <c r="F73" s="260"/>
      <c r="G73" s="260"/>
      <c r="H73" s="271"/>
      <c r="I73" s="260"/>
      <c r="J73" s="224"/>
      <c r="K73" s="260"/>
      <c r="L73" s="260"/>
    </row>
    <row r="74" spans="1:20">
      <c r="A74" s="46"/>
      <c r="B74" s="260"/>
      <c r="C74" s="48"/>
      <c r="D74" s="260"/>
      <c r="E74" s="260"/>
      <c r="F74" s="260"/>
      <c r="G74" s="260"/>
      <c r="H74" s="271"/>
      <c r="I74" s="260"/>
      <c r="J74" s="224"/>
      <c r="K74" s="260"/>
      <c r="L74" s="260"/>
    </row>
    <row r="75" spans="1:20">
      <c r="A75" s="46"/>
      <c r="B75" s="260"/>
      <c r="C75" s="48"/>
      <c r="D75" s="260"/>
      <c r="E75" s="260"/>
      <c r="F75" s="260"/>
      <c r="G75" s="260"/>
      <c r="H75" s="271"/>
      <c r="I75" s="260"/>
      <c r="J75" s="224"/>
      <c r="K75" s="260"/>
      <c r="L75" s="260"/>
    </row>
    <row r="76" spans="1:20">
      <c r="A76" s="46"/>
      <c r="B76" s="260"/>
      <c r="C76" s="48"/>
      <c r="D76" s="260"/>
      <c r="E76" s="260"/>
      <c r="F76" s="260"/>
      <c r="G76" s="260"/>
      <c r="H76" s="271"/>
      <c r="I76" s="260"/>
      <c r="J76" s="224"/>
      <c r="K76" s="260"/>
      <c r="L76" s="260"/>
    </row>
    <row r="77" spans="1:20">
      <c r="A77" s="46"/>
      <c r="B77" s="260"/>
      <c r="C77" s="48"/>
      <c r="D77" s="260"/>
      <c r="E77" s="260"/>
      <c r="F77" s="260"/>
      <c r="G77" s="260"/>
      <c r="H77" s="271"/>
      <c r="I77" s="260"/>
      <c r="J77" s="224"/>
      <c r="K77" s="260"/>
      <c r="L77" s="260"/>
    </row>
    <row r="78" spans="1:20">
      <c r="A78" s="46"/>
      <c r="B78" s="260"/>
      <c r="C78" s="48"/>
      <c r="D78" s="260"/>
      <c r="E78" s="260"/>
      <c r="F78" s="260"/>
      <c r="G78" s="260"/>
      <c r="H78" s="271"/>
      <c r="I78" s="260"/>
      <c r="J78" s="224"/>
      <c r="K78" s="260"/>
      <c r="L78" s="260"/>
    </row>
    <row r="79" spans="1:20">
      <c r="A79" s="46"/>
      <c r="B79" s="260"/>
      <c r="C79" s="48"/>
      <c r="D79" s="260"/>
      <c r="E79" s="260"/>
      <c r="F79" s="260"/>
      <c r="G79" s="260"/>
      <c r="H79" s="271"/>
      <c r="I79" s="260"/>
      <c r="J79" s="224"/>
      <c r="K79" s="260"/>
      <c r="L79" s="260"/>
    </row>
    <row r="80" spans="1:20">
      <c r="A80" s="46"/>
      <c r="B80" s="260"/>
      <c r="C80" s="48"/>
      <c r="D80" s="260"/>
      <c r="E80" s="260"/>
      <c r="F80" s="260"/>
      <c r="G80" s="260"/>
      <c r="H80" s="271"/>
      <c r="I80" s="260"/>
      <c r="J80" s="224"/>
      <c r="K80" s="260"/>
      <c r="L80" s="260"/>
    </row>
    <row r="81" spans="1:12">
      <c r="A81" s="46"/>
      <c r="B81" s="260"/>
      <c r="C81" s="48"/>
      <c r="D81" s="260"/>
      <c r="E81" s="260"/>
      <c r="F81" s="260"/>
      <c r="G81" s="260"/>
      <c r="H81" s="271"/>
      <c r="I81" s="260"/>
      <c r="J81" s="224"/>
      <c r="K81" s="260"/>
      <c r="L81" s="260"/>
    </row>
    <row r="82" spans="1:12">
      <c r="A82" s="46"/>
      <c r="B82" s="260"/>
      <c r="C82" s="48"/>
      <c r="D82" s="260"/>
      <c r="E82" s="260"/>
      <c r="F82" s="260"/>
      <c r="G82" s="260"/>
      <c r="H82" s="271"/>
      <c r="I82" s="260"/>
      <c r="J82" s="224"/>
      <c r="K82" s="260"/>
      <c r="L82" s="260"/>
    </row>
    <row r="83" spans="1:12">
      <c r="A83" s="46"/>
      <c r="B83" s="260"/>
      <c r="C83" s="48"/>
      <c r="D83" s="260"/>
      <c r="E83" s="260"/>
      <c r="F83" s="260"/>
      <c r="G83" s="260"/>
      <c r="H83" s="271"/>
      <c r="I83" s="260"/>
      <c r="J83" s="224"/>
      <c r="K83" s="260"/>
      <c r="L83" s="260"/>
    </row>
    <row r="84" spans="1:12">
      <c r="A84" s="46"/>
      <c r="B84" s="260"/>
      <c r="C84" s="48"/>
      <c r="D84" s="260"/>
      <c r="E84" s="260"/>
      <c r="F84" s="260"/>
      <c r="G84" s="260"/>
      <c r="H84" s="271"/>
      <c r="I84" s="260"/>
      <c r="J84" s="224"/>
      <c r="K84" s="260"/>
      <c r="L84" s="260"/>
    </row>
    <row r="85" spans="1:12" ht="32.4" customHeight="1">
      <c r="A85" s="46"/>
      <c r="B85" s="260"/>
      <c r="C85" s="48"/>
      <c r="D85" s="260"/>
      <c r="E85" s="260"/>
      <c r="F85" s="260"/>
      <c r="G85" s="260"/>
      <c r="H85" s="271"/>
      <c r="I85" s="260"/>
      <c r="J85" s="224"/>
      <c r="K85" s="260"/>
      <c r="L85" s="260"/>
    </row>
    <row r="86" spans="1:12">
      <c r="A86" s="46"/>
      <c r="B86" s="260"/>
      <c r="C86" s="48"/>
      <c r="D86" s="260"/>
      <c r="E86" s="260"/>
      <c r="F86" s="260"/>
      <c r="G86" s="260"/>
      <c r="H86" s="271"/>
      <c r="I86" s="260"/>
      <c r="J86" s="224"/>
      <c r="K86" s="260"/>
      <c r="L86" s="260"/>
    </row>
    <row r="87" spans="1:12">
      <c r="A87" s="46"/>
      <c r="B87" s="260"/>
      <c r="C87" s="48"/>
      <c r="D87" s="260"/>
      <c r="E87" s="260"/>
      <c r="F87" s="260"/>
      <c r="G87" s="260"/>
      <c r="H87" s="271"/>
      <c r="I87" s="260"/>
      <c r="J87" s="224"/>
      <c r="K87" s="260"/>
      <c r="L87" s="260"/>
    </row>
    <row r="88" spans="1:12">
      <c r="A88" s="46"/>
      <c r="B88" s="260"/>
      <c r="C88" s="48"/>
      <c r="D88" s="260"/>
      <c r="E88" s="260"/>
      <c r="F88" s="260"/>
      <c r="G88" s="260"/>
      <c r="H88" s="271"/>
      <c r="I88" s="260"/>
      <c r="J88" s="224"/>
      <c r="K88" s="260"/>
      <c r="L88" s="260"/>
    </row>
    <row r="89" spans="1:12">
      <c r="A89" s="46"/>
      <c r="B89" s="260"/>
      <c r="C89" s="48"/>
      <c r="D89" s="260"/>
      <c r="E89" s="260"/>
      <c r="F89" s="260"/>
      <c r="G89" s="260"/>
      <c r="H89" s="271"/>
      <c r="I89" s="260"/>
      <c r="J89" s="224"/>
      <c r="K89" s="260"/>
      <c r="L89" s="260"/>
    </row>
    <row r="90" spans="1:12">
      <c r="A90" s="46"/>
      <c r="B90" s="260"/>
      <c r="C90" s="48"/>
      <c r="D90" s="260"/>
      <c r="E90" s="260"/>
      <c r="F90" s="260"/>
      <c r="G90" s="260"/>
      <c r="H90" s="271"/>
      <c r="I90" s="260"/>
      <c r="J90" s="224"/>
      <c r="K90" s="260"/>
      <c r="L90" s="260"/>
    </row>
    <row r="91" spans="1:12">
      <c r="A91" s="46"/>
      <c r="B91" s="260"/>
      <c r="C91" s="48"/>
      <c r="D91" s="260"/>
      <c r="E91" s="260"/>
      <c r="F91" s="260"/>
      <c r="G91" s="260"/>
      <c r="H91" s="271"/>
      <c r="I91" s="260"/>
      <c r="J91" s="224"/>
      <c r="K91" s="260"/>
      <c r="L91" s="260"/>
    </row>
    <row r="92" spans="1:12">
      <c r="A92" s="46"/>
      <c r="B92" s="260"/>
      <c r="C92" s="48"/>
      <c r="D92" s="260"/>
      <c r="E92" s="260"/>
      <c r="F92" s="260"/>
      <c r="G92" s="260"/>
      <c r="H92" s="271"/>
      <c r="I92" s="260"/>
      <c r="J92" s="224"/>
      <c r="K92" s="260"/>
      <c r="L92" s="260"/>
    </row>
    <row r="93" spans="1:12">
      <c r="A93" s="46"/>
      <c r="B93" s="260"/>
      <c r="C93" s="48"/>
      <c r="D93" s="260"/>
      <c r="E93" s="260"/>
      <c r="F93" s="260"/>
      <c r="G93" s="260"/>
      <c r="H93" s="271"/>
      <c r="I93" s="260"/>
      <c r="J93" s="224"/>
      <c r="K93" s="260"/>
      <c r="L93" s="260"/>
    </row>
    <row r="94" spans="1:12">
      <c r="A94" s="46"/>
      <c r="B94" s="260"/>
      <c r="C94" s="48"/>
      <c r="D94" s="260"/>
      <c r="E94" s="260"/>
      <c r="F94" s="260"/>
      <c r="G94" s="260"/>
      <c r="H94" s="271"/>
      <c r="I94" s="260"/>
      <c r="J94" s="224"/>
      <c r="K94" s="260"/>
      <c r="L94" s="260"/>
    </row>
    <row r="95" spans="1:12">
      <c r="A95" s="46"/>
      <c r="B95" s="260"/>
      <c r="C95" s="48"/>
      <c r="D95" s="260"/>
      <c r="E95" s="260"/>
      <c r="F95" s="260"/>
      <c r="G95" s="260"/>
      <c r="H95" s="271"/>
      <c r="I95" s="260"/>
      <c r="J95" s="224"/>
      <c r="K95" s="260"/>
      <c r="L95" s="260"/>
    </row>
    <row r="96" spans="1:12">
      <c r="A96" s="46"/>
      <c r="B96" s="260"/>
      <c r="C96" s="48"/>
      <c r="D96" s="260"/>
      <c r="E96" s="260"/>
      <c r="F96" s="260"/>
      <c r="G96" s="260"/>
      <c r="H96" s="271"/>
      <c r="I96" s="260"/>
      <c r="J96" s="224"/>
      <c r="K96" s="260"/>
      <c r="L96" s="260"/>
    </row>
    <row r="97" spans="1:12">
      <c r="A97" s="46"/>
      <c r="B97" s="260"/>
      <c r="C97" s="48"/>
      <c r="D97" s="260"/>
      <c r="E97" s="260"/>
      <c r="F97" s="260"/>
      <c r="G97" s="260"/>
      <c r="H97" s="271"/>
      <c r="I97" s="260"/>
      <c r="J97" s="224"/>
      <c r="K97" s="260"/>
      <c r="L97" s="260"/>
    </row>
    <row r="98" spans="1:12">
      <c r="A98" s="46"/>
      <c r="B98" s="260"/>
      <c r="C98" s="48"/>
      <c r="D98" s="260"/>
      <c r="E98" s="260"/>
      <c r="F98" s="260"/>
      <c r="G98" s="260"/>
      <c r="H98" s="271"/>
      <c r="I98" s="260"/>
      <c r="J98" s="224"/>
      <c r="K98" s="260"/>
      <c r="L98" s="260"/>
    </row>
    <row r="99" spans="1:12">
      <c r="A99" s="46"/>
      <c r="B99" s="260"/>
      <c r="C99" s="48"/>
      <c r="D99" s="260"/>
      <c r="E99" s="260"/>
      <c r="F99" s="260"/>
      <c r="G99" s="260"/>
      <c r="H99" s="271"/>
      <c r="I99" s="260"/>
      <c r="J99" s="224"/>
      <c r="K99" s="260"/>
      <c r="L99" s="260"/>
    </row>
    <row r="100" spans="1:12">
      <c r="A100" s="46"/>
      <c r="B100" s="260"/>
      <c r="C100" s="48"/>
      <c r="D100" s="260"/>
      <c r="E100" s="260"/>
      <c r="F100" s="260"/>
      <c r="G100" s="260"/>
      <c r="H100" s="271"/>
      <c r="I100" s="260"/>
      <c r="J100" s="224"/>
      <c r="K100" s="260"/>
      <c r="L100" s="260"/>
    </row>
    <row r="101" spans="1:12">
      <c r="A101" s="46"/>
      <c r="B101" s="260"/>
      <c r="C101" s="48"/>
      <c r="D101" s="260"/>
      <c r="E101" s="260"/>
      <c r="F101" s="260"/>
      <c r="G101" s="260"/>
      <c r="H101" s="271"/>
      <c r="I101" s="260"/>
      <c r="J101" s="224"/>
      <c r="K101" s="260"/>
      <c r="L101" s="260"/>
    </row>
    <row r="102" spans="1:12">
      <c r="A102" s="46"/>
      <c r="B102" s="260"/>
      <c r="C102" s="48"/>
      <c r="D102" s="260"/>
      <c r="E102" s="260"/>
      <c r="F102" s="260"/>
      <c r="G102" s="260"/>
      <c r="H102" s="271"/>
      <c r="I102" s="260"/>
      <c r="J102" s="224"/>
      <c r="K102" s="260"/>
      <c r="L102" s="260"/>
    </row>
    <row r="103" spans="1:12">
      <c r="A103" s="46"/>
      <c r="B103" s="260"/>
      <c r="C103" s="48"/>
      <c r="D103" s="260"/>
      <c r="E103" s="260"/>
      <c r="F103" s="260"/>
      <c r="G103" s="260"/>
      <c r="H103" s="271"/>
      <c r="I103" s="260"/>
      <c r="J103" s="224"/>
      <c r="K103" s="260"/>
      <c r="L103" s="260"/>
    </row>
    <row r="104" spans="1:12">
      <c r="A104" s="46"/>
      <c r="B104" s="260"/>
      <c r="C104" s="48"/>
      <c r="D104" s="260"/>
      <c r="E104" s="260"/>
      <c r="F104" s="260"/>
      <c r="G104" s="260"/>
      <c r="H104" s="271"/>
      <c r="I104" s="260"/>
      <c r="J104" s="224"/>
      <c r="K104" s="260"/>
      <c r="L104" s="260"/>
    </row>
    <row r="105" spans="1:12">
      <c r="A105" s="46"/>
      <c r="B105" s="260"/>
      <c r="C105" s="48"/>
      <c r="D105" s="260"/>
      <c r="E105" s="260"/>
      <c r="F105" s="260"/>
      <c r="G105" s="260"/>
      <c r="H105" s="271"/>
      <c r="I105" s="260"/>
      <c r="J105" s="224"/>
      <c r="K105" s="260"/>
      <c r="L105" s="260"/>
    </row>
    <row r="106" spans="1:12">
      <c r="A106" s="46"/>
      <c r="B106" s="260"/>
      <c r="C106" s="48"/>
      <c r="D106" s="260"/>
      <c r="E106" s="260"/>
      <c r="F106" s="260"/>
      <c r="G106" s="260"/>
      <c r="H106" s="271"/>
      <c r="I106" s="260"/>
      <c r="J106" s="224"/>
      <c r="K106" s="260"/>
      <c r="L106" s="260"/>
    </row>
    <row r="107" spans="1:12">
      <c r="B107" s="60"/>
    </row>
    <row r="108" spans="1:12">
      <c r="B108" s="60"/>
    </row>
    <row r="109" spans="1:12">
      <c r="B109" s="60"/>
    </row>
    <row r="110" spans="1:12">
      <c r="B110" s="60"/>
    </row>
    <row r="111" spans="1:12">
      <c r="B111" s="60"/>
    </row>
    <row r="112" spans="1:12">
      <c r="B112" s="60"/>
    </row>
    <row r="113" spans="2:2">
      <c r="B113" s="60"/>
    </row>
    <row r="114" spans="2:2">
      <c r="B114" s="60"/>
    </row>
    <row r="115" spans="2:2">
      <c r="B115" s="60"/>
    </row>
    <row r="116" spans="2:2">
      <c r="B116" s="60"/>
    </row>
    <row r="117" spans="2:2">
      <c r="B117" s="60"/>
    </row>
    <row r="118" spans="2:2">
      <c r="B118" s="60"/>
    </row>
    <row r="119" spans="2:2">
      <c r="B119" s="60"/>
    </row>
    <row r="120" spans="2:2">
      <c r="B120" s="60"/>
    </row>
    <row r="121" spans="2:2">
      <c r="B121" s="60"/>
    </row>
    <row r="122" spans="2:2">
      <c r="B122" s="60"/>
    </row>
    <row r="123" spans="2:2">
      <c r="B123" s="60"/>
    </row>
    <row r="124" spans="2:2">
      <c r="B124" s="60"/>
    </row>
    <row r="125" spans="2:2">
      <c r="B125" s="60"/>
    </row>
    <row r="126" spans="2:2">
      <c r="B126" s="60"/>
    </row>
    <row r="127" spans="2:2">
      <c r="B127" s="60"/>
    </row>
    <row r="128" spans="2:2">
      <c r="B128" s="60"/>
    </row>
    <row r="129" spans="2:2">
      <c r="B129" s="60"/>
    </row>
    <row r="130" spans="2:2">
      <c r="B130" s="60"/>
    </row>
    <row r="131" spans="2:2">
      <c r="B131" s="60"/>
    </row>
    <row r="132" spans="2:2">
      <c r="B132" s="60"/>
    </row>
    <row r="133" spans="2:2">
      <c r="B133" s="60"/>
    </row>
    <row r="134" spans="2:2">
      <c r="B134" s="60"/>
    </row>
    <row r="135" spans="2:2">
      <c r="B135" s="60"/>
    </row>
    <row r="136" spans="2:2">
      <c r="B136" s="60"/>
    </row>
    <row r="137" spans="2:2">
      <c r="B137" s="60"/>
    </row>
    <row r="138" spans="2:2">
      <c r="B138" s="60"/>
    </row>
    <row r="139" spans="2:2">
      <c r="B139" s="60"/>
    </row>
    <row r="140" spans="2:2">
      <c r="B140" s="60"/>
    </row>
    <row r="141" spans="2:2">
      <c r="B141" s="60"/>
    </row>
    <row r="142" spans="2:2">
      <c r="B142" s="60"/>
    </row>
    <row r="143" spans="2:2">
      <c r="B143" s="60"/>
    </row>
    <row r="144" spans="2:2">
      <c r="B144" s="60"/>
    </row>
    <row r="145" spans="1:12">
      <c r="B145" s="60"/>
    </row>
    <row r="146" spans="1:12">
      <c r="B146" s="60"/>
    </row>
    <row r="147" spans="1:12">
      <c r="B147" s="60"/>
    </row>
    <row r="148" spans="1:12">
      <c r="B148" s="60"/>
    </row>
    <row r="149" spans="1:12">
      <c r="B149" s="60"/>
    </row>
    <row r="150" spans="1:12">
      <c r="B150" s="60"/>
    </row>
    <row r="151" spans="1:12">
      <c r="B151" s="60"/>
    </row>
    <row r="152" spans="1:12">
      <c r="B152" s="60"/>
    </row>
    <row r="153" spans="1:12">
      <c r="B153" s="60"/>
    </row>
    <row r="154" spans="1:12">
      <c r="A154" s="50"/>
      <c r="B154" s="19"/>
      <c r="D154" s="19"/>
      <c r="E154" s="19"/>
      <c r="F154" s="19"/>
      <c r="G154" s="19"/>
      <c r="H154" s="268"/>
      <c r="I154" s="19"/>
      <c r="J154" s="54"/>
      <c r="K154" s="19"/>
      <c r="L154" s="19"/>
    </row>
    <row r="155" spans="1:12">
      <c r="A155" s="50"/>
      <c r="B155" s="19"/>
      <c r="D155" s="19"/>
      <c r="E155" s="19"/>
      <c r="F155" s="19"/>
      <c r="G155" s="19"/>
      <c r="H155" s="268"/>
      <c r="I155" s="19"/>
      <c r="J155" s="54"/>
      <c r="K155" s="19"/>
      <c r="L155" s="19"/>
    </row>
    <row r="156" spans="1:12">
      <c r="A156" s="50"/>
      <c r="B156" s="19"/>
      <c r="D156" s="19"/>
      <c r="E156" s="19"/>
      <c r="F156" s="19"/>
      <c r="G156" s="19"/>
      <c r="H156" s="268"/>
      <c r="I156" s="19"/>
      <c r="J156" s="54"/>
      <c r="K156" s="19"/>
      <c r="L156" s="19"/>
    </row>
    <row r="157" spans="1:12">
      <c r="A157" s="50"/>
      <c r="B157" s="19"/>
      <c r="D157" s="19"/>
      <c r="E157" s="19"/>
      <c r="F157" s="19"/>
      <c r="G157" s="19"/>
      <c r="H157" s="268"/>
      <c r="I157" s="19"/>
      <c r="J157" s="54"/>
      <c r="K157" s="19"/>
      <c r="L157" s="19"/>
    </row>
    <row r="158" spans="1:12">
      <c r="A158" s="50"/>
      <c r="B158" s="19"/>
      <c r="D158" s="19"/>
      <c r="E158" s="19"/>
      <c r="F158" s="19"/>
      <c r="G158" s="19"/>
      <c r="H158" s="268"/>
      <c r="I158" s="19"/>
      <c r="J158" s="54"/>
      <c r="K158" s="19"/>
      <c r="L158" s="19"/>
    </row>
    <row r="159" spans="1:12">
      <c r="A159" s="50"/>
      <c r="B159" s="19"/>
      <c r="D159" s="19"/>
      <c r="E159" s="19"/>
      <c r="F159" s="19"/>
      <c r="G159" s="19"/>
      <c r="H159" s="268"/>
      <c r="I159" s="19"/>
      <c r="J159" s="54"/>
      <c r="K159" s="19"/>
      <c r="L159" s="19"/>
    </row>
    <row r="160" spans="1:12">
      <c r="A160" s="50"/>
      <c r="B160" s="19"/>
      <c r="D160" s="19"/>
      <c r="E160" s="19"/>
      <c r="F160" s="19"/>
      <c r="G160" s="19"/>
      <c r="H160" s="268"/>
      <c r="I160" s="19"/>
      <c r="J160" s="54"/>
      <c r="K160" s="19"/>
      <c r="L160" s="19"/>
    </row>
    <row r="161" spans="1:12">
      <c r="A161" s="50"/>
      <c r="B161" s="19"/>
      <c r="D161" s="19"/>
      <c r="E161" s="19"/>
      <c r="F161" s="19"/>
      <c r="G161" s="19"/>
      <c r="H161" s="268"/>
      <c r="I161" s="19"/>
      <c r="J161" s="54"/>
      <c r="K161" s="19"/>
      <c r="L161" s="19"/>
    </row>
    <row r="162" spans="1:12">
      <c r="A162" s="50"/>
      <c r="B162" s="19"/>
      <c r="D162" s="19"/>
      <c r="E162" s="19"/>
      <c r="F162" s="19"/>
      <c r="G162" s="19"/>
      <c r="H162" s="268"/>
      <c r="I162" s="19"/>
      <c r="J162" s="54"/>
      <c r="K162" s="19"/>
      <c r="L162" s="19"/>
    </row>
    <row r="163" spans="1:12">
      <c r="A163" s="50"/>
      <c r="B163" s="19"/>
      <c r="D163" s="19"/>
      <c r="E163" s="19"/>
      <c r="F163" s="19"/>
      <c r="G163" s="19"/>
      <c r="H163" s="268"/>
      <c r="I163" s="19"/>
      <c r="J163" s="54"/>
      <c r="K163" s="19"/>
      <c r="L163" s="19"/>
    </row>
    <row r="164" spans="1:12">
      <c r="A164" s="50"/>
      <c r="B164" s="19"/>
      <c r="D164" s="19"/>
      <c r="E164" s="19"/>
      <c r="F164" s="19"/>
      <c r="G164" s="19"/>
      <c r="H164" s="268"/>
      <c r="I164" s="19"/>
      <c r="J164" s="54"/>
      <c r="K164" s="19"/>
      <c r="L164" s="19"/>
    </row>
    <row r="180" ht="36.6" customHeight="1"/>
    <row r="187" ht="42.6" customHeight="1"/>
    <row r="194" ht="39.6" customHeight="1"/>
    <row r="485" spans="2:2">
      <c r="B485" s="43" t="s">
        <v>162</v>
      </c>
    </row>
  </sheetData>
  <autoFilter ref="A8:L69"/>
  <mergeCells count="11">
    <mergeCell ref="L6:L7"/>
    <mergeCell ref="M42:N42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"/>
  <sheetViews>
    <sheetView topLeftCell="A7" workbookViewId="0">
      <selection activeCell="K11" sqref="K11:L45"/>
    </sheetView>
  </sheetViews>
  <sheetFormatPr defaultColWidth="9.109375" defaultRowHeight="15"/>
  <cols>
    <col min="1" max="1" width="3.88671875" style="16" customWidth="1"/>
    <col min="2" max="2" width="41.88671875" style="8" customWidth="1"/>
    <col min="3" max="3" width="7.109375" style="15" customWidth="1"/>
    <col min="4" max="4" width="8" style="533" customWidth="1"/>
    <col min="5" max="5" width="9" style="8" customWidth="1"/>
    <col min="6" max="6" width="8.6640625" style="533" customWidth="1"/>
    <col min="7" max="7" width="10.109375" style="8" customWidth="1"/>
    <col min="8" max="8" width="7.33203125" style="534" customWidth="1"/>
    <col min="9" max="9" width="10" style="8" customWidth="1"/>
    <col min="10" max="10" width="8.6640625" style="534" customWidth="1"/>
    <col min="11" max="11" width="8.33203125" style="8" customWidth="1"/>
    <col min="12" max="12" width="10.6640625" style="8" customWidth="1"/>
    <col min="13" max="13" width="25.88671875" style="523" customWidth="1"/>
    <col min="14" max="16" width="9.109375" style="524"/>
    <col min="17" max="16384" width="9.109375" style="12"/>
  </cols>
  <sheetData>
    <row r="1" spans="1:16">
      <c r="A1" s="520"/>
      <c r="B1" s="521"/>
      <c r="C1" s="521"/>
      <c r="D1" s="521"/>
      <c r="E1" s="521"/>
      <c r="F1" s="521"/>
      <c r="G1" s="521"/>
      <c r="H1" s="522"/>
      <c r="I1" s="521"/>
      <c r="J1" s="522"/>
      <c r="K1" s="521"/>
      <c r="L1" s="521"/>
    </row>
    <row r="2" spans="1:16" ht="17.399999999999999">
      <c r="A2" s="1182" t="s">
        <v>231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</row>
    <row r="3" spans="1:16" ht="19.8">
      <c r="A3" s="525"/>
      <c r="B3" s="526"/>
      <c r="C3" s="527"/>
      <c r="D3" s="527"/>
      <c r="E3" s="527"/>
      <c r="F3" s="527"/>
      <c r="G3" s="527"/>
      <c r="H3" s="528"/>
      <c r="I3" s="527"/>
      <c r="J3" s="528"/>
      <c r="K3" s="527"/>
      <c r="L3" s="527"/>
    </row>
    <row r="4" spans="1:16" ht="17.399999999999999">
      <c r="A4" s="1182" t="s">
        <v>30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</row>
    <row r="5" spans="1:16" ht="19.8">
      <c r="A5" s="525"/>
      <c r="B5" s="526"/>
      <c r="C5" s="527"/>
      <c r="D5" s="527"/>
      <c r="E5" s="527"/>
      <c r="F5" s="527"/>
      <c r="G5" s="527"/>
      <c r="H5" s="528"/>
      <c r="I5" s="527"/>
      <c r="J5" s="528"/>
      <c r="K5" s="527"/>
      <c r="L5" s="527"/>
    </row>
    <row r="6" spans="1:16" ht="15" customHeight="1">
      <c r="A6" s="1183" t="s">
        <v>13</v>
      </c>
      <c r="B6" s="1183" t="s">
        <v>27</v>
      </c>
      <c r="C6" s="1183" t="s">
        <v>32</v>
      </c>
      <c r="D6" s="1184" t="s">
        <v>33</v>
      </c>
      <c r="E6" s="1185"/>
      <c r="F6" s="1183" t="s">
        <v>34</v>
      </c>
      <c r="G6" s="1183"/>
      <c r="H6" s="1183" t="s">
        <v>35</v>
      </c>
      <c r="I6" s="1183"/>
      <c r="J6" s="1183" t="s">
        <v>36</v>
      </c>
      <c r="K6" s="1183"/>
      <c r="L6" s="1186" t="s">
        <v>37</v>
      </c>
    </row>
    <row r="7" spans="1:16" ht="30">
      <c r="A7" s="1183"/>
      <c r="B7" s="1183"/>
      <c r="C7" s="1183"/>
      <c r="D7" s="499" t="s">
        <v>38</v>
      </c>
      <c r="E7" s="498" t="s">
        <v>22</v>
      </c>
      <c r="F7" s="499" t="s">
        <v>39</v>
      </c>
      <c r="G7" s="498" t="s">
        <v>40</v>
      </c>
      <c r="H7" s="499" t="s">
        <v>39</v>
      </c>
      <c r="I7" s="498" t="s">
        <v>40</v>
      </c>
      <c r="J7" s="499" t="s">
        <v>39</v>
      </c>
      <c r="K7" s="498" t="s">
        <v>40</v>
      </c>
      <c r="L7" s="1187"/>
    </row>
    <row r="8" spans="1:16" s="248" customFormat="1" ht="21" customHeight="1">
      <c r="A8" s="110">
        <v>1</v>
      </c>
      <c r="B8" s="110">
        <v>2</v>
      </c>
      <c r="C8" s="111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274">
        <v>10</v>
      </c>
      <c r="K8" s="112">
        <v>11</v>
      </c>
      <c r="L8" s="112">
        <v>12</v>
      </c>
      <c r="N8" s="295"/>
    </row>
    <row r="9" spans="1:16" s="192" customFormat="1" ht="17.399999999999999">
      <c r="A9" s="573">
        <v>1</v>
      </c>
      <c r="B9" s="574" t="s">
        <v>207</v>
      </c>
      <c r="C9" s="575" t="s">
        <v>66</v>
      </c>
      <c r="D9" s="511"/>
      <c r="E9" s="576">
        <v>30</v>
      </c>
      <c r="F9" s="511"/>
      <c r="G9" s="511"/>
      <c r="H9" s="513"/>
      <c r="I9" s="511"/>
      <c r="J9" s="513"/>
      <c r="K9" s="511"/>
      <c r="L9" s="511"/>
      <c r="M9" s="1194"/>
      <c r="N9" s="1189"/>
      <c r="O9" s="1189"/>
      <c r="P9" s="1189"/>
    </row>
    <row r="10" spans="1:16" s="192" customFormat="1">
      <c r="A10" s="514"/>
      <c r="B10" s="536" t="s">
        <v>42</v>
      </c>
      <c r="C10" s="537" t="s">
        <v>43</v>
      </c>
      <c r="D10" s="508">
        <v>0.05</v>
      </c>
      <c r="E10" s="537">
        <f>D10*E9</f>
        <v>1.5</v>
      </c>
      <c r="F10" s="508"/>
      <c r="G10" s="508"/>
      <c r="H10" s="510"/>
      <c r="I10" s="510">
        <f>H10*E10</f>
        <v>0</v>
      </c>
      <c r="J10" s="510"/>
      <c r="K10" s="510"/>
      <c r="L10" s="510">
        <f t="shared" ref="L10:L13" si="0">K10+I10+G10</f>
        <v>0</v>
      </c>
      <c r="M10" s="505"/>
      <c r="N10" s="124"/>
      <c r="O10" s="124"/>
      <c r="P10" s="124"/>
    </row>
    <row r="11" spans="1:16" s="192" customFormat="1">
      <c r="A11" s="515"/>
      <c r="B11" s="514" t="s">
        <v>45</v>
      </c>
      <c r="C11" s="193" t="s">
        <v>2</v>
      </c>
      <c r="D11" s="538">
        <v>2.8500000000000001E-2</v>
      </c>
      <c r="E11" s="539">
        <f>D11*E9</f>
        <v>0.85499999999999998</v>
      </c>
      <c r="F11" s="510"/>
      <c r="G11" s="540"/>
      <c r="H11" s="510"/>
      <c r="I11" s="540"/>
      <c r="J11" s="510"/>
      <c r="K11" s="510">
        <f>J11*E11</f>
        <v>0</v>
      </c>
      <c r="L11" s="510">
        <f t="shared" si="0"/>
        <v>0</v>
      </c>
      <c r="M11" s="505"/>
      <c r="N11" s="124"/>
      <c r="O11" s="124"/>
      <c r="P11" s="124"/>
    </row>
    <row r="12" spans="1:16" s="192" customFormat="1" ht="28.8">
      <c r="A12" s="515"/>
      <c r="B12" s="578" t="s">
        <v>212</v>
      </c>
      <c r="C12" s="537" t="s">
        <v>66</v>
      </c>
      <c r="D12" s="538"/>
      <c r="E12" s="516">
        <v>30</v>
      </c>
      <c r="F12" s="510"/>
      <c r="G12" s="510">
        <f>F12*E12</f>
        <v>0</v>
      </c>
      <c r="H12" s="510"/>
      <c r="I12" s="540"/>
      <c r="J12" s="510"/>
      <c r="K12" s="540"/>
      <c r="L12" s="510">
        <f t="shared" ref="L12" si="1">K12+I12+G12</f>
        <v>0</v>
      </c>
      <c r="M12" s="505"/>
      <c r="N12" s="124"/>
      <c r="O12" s="124"/>
      <c r="P12" s="124"/>
    </row>
    <row r="13" spans="1:16" s="192" customFormat="1">
      <c r="A13" s="515"/>
      <c r="B13" s="514" t="s">
        <v>51</v>
      </c>
      <c r="C13" s="537" t="s">
        <v>2</v>
      </c>
      <c r="D13" s="538">
        <v>2.7000000000000001E-3</v>
      </c>
      <c r="E13" s="539">
        <f>D13*E9</f>
        <v>8.1000000000000003E-2</v>
      </c>
      <c r="F13" s="510"/>
      <c r="G13" s="510">
        <f>F13*E13</f>
        <v>0</v>
      </c>
      <c r="H13" s="510"/>
      <c r="I13" s="540"/>
      <c r="J13" s="510"/>
      <c r="K13" s="540"/>
      <c r="L13" s="510">
        <f t="shared" si="0"/>
        <v>0</v>
      </c>
      <c r="M13" s="505"/>
      <c r="N13" s="124"/>
      <c r="O13" s="124"/>
      <c r="P13" s="124"/>
    </row>
    <row r="14" spans="1:16" s="192" customFormat="1">
      <c r="A14" s="573">
        <v>2</v>
      </c>
      <c r="B14" s="577" t="s">
        <v>208</v>
      </c>
      <c r="C14" s="511" t="s">
        <v>66</v>
      </c>
      <c r="D14" s="511"/>
      <c r="E14" s="576">
        <v>580</v>
      </c>
      <c r="F14" s="511"/>
      <c r="G14" s="511"/>
      <c r="H14" s="513"/>
      <c r="I14" s="511"/>
      <c r="J14" s="513"/>
      <c r="K14" s="511"/>
      <c r="L14" s="511"/>
      <c r="M14" s="1194"/>
      <c r="N14" s="1189"/>
      <c r="O14" s="1189"/>
      <c r="P14" s="1189"/>
    </row>
    <row r="15" spans="1:16" s="192" customFormat="1">
      <c r="A15" s="514"/>
      <c r="B15" s="536" t="s">
        <v>42</v>
      </c>
      <c r="C15" s="537" t="s">
        <v>43</v>
      </c>
      <c r="D15" s="508">
        <v>7.0000000000000007E-2</v>
      </c>
      <c r="E15" s="537">
        <f>D15*E14</f>
        <v>40.6</v>
      </c>
      <c r="F15" s="508"/>
      <c r="G15" s="508"/>
      <c r="H15" s="510"/>
      <c r="I15" s="510">
        <f>H15*E15</f>
        <v>0</v>
      </c>
      <c r="J15" s="510"/>
      <c r="K15" s="510"/>
      <c r="L15" s="510">
        <f t="shared" ref="L15:L19" si="2">K15+I15+G15</f>
        <v>0</v>
      </c>
      <c r="M15" s="1188"/>
      <c r="N15" s="1189"/>
      <c r="O15" s="1189"/>
      <c r="P15" s="1189"/>
    </row>
    <row r="16" spans="1:16" s="192" customFormat="1">
      <c r="A16" s="515"/>
      <c r="B16" s="514" t="s">
        <v>45</v>
      </c>
      <c r="C16" s="193" t="s">
        <v>2</v>
      </c>
      <c r="D16" s="538">
        <v>4.8399999999999999E-2</v>
      </c>
      <c r="E16" s="539">
        <f>D16*E14</f>
        <v>28.071999999999999</v>
      </c>
      <c r="F16" s="510"/>
      <c r="G16" s="540"/>
      <c r="H16" s="510"/>
      <c r="I16" s="540"/>
      <c r="J16" s="510"/>
      <c r="K16" s="510">
        <f>J16*E16</f>
        <v>0</v>
      </c>
      <c r="L16" s="510">
        <f t="shared" si="2"/>
        <v>0</v>
      </c>
      <c r="M16" s="505"/>
      <c r="N16" s="124"/>
      <c r="O16" s="124"/>
      <c r="P16" s="124"/>
    </row>
    <row r="17" spans="1:16" s="192" customFormat="1" ht="28.8">
      <c r="A17" s="508"/>
      <c r="B17" s="578" t="s">
        <v>211</v>
      </c>
      <c r="C17" s="537" t="s">
        <v>66</v>
      </c>
      <c r="D17" s="538"/>
      <c r="E17" s="516">
        <v>550</v>
      </c>
      <c r="F17" s="510"/>
      <c r="G17" s="510">
        <f t="shared" ref="G17:G19" si="3">F17*E17</f>
        <v>0</v>
      </c>
      <c r="H17" s="510"/>
      <c r="I17" s="540"/>
      <c r="J17" s="510"/>
      <c r="K17" s="540"/>
      <c r="L17" s="510">
        <f t="shared" si="2"/>
        <v>0</v>
      </c>
      <c r="M17" s="505"/>
      <c r="N17" s="124"/>
      <c r="O17" s="124"/>
      <c r="P17" s="124"/>
    </row>
    <row r="18" spans="1:16" s="192" customFormat="1" ht="28.8">
      <c r="A18" s="515"/>
      <c r="B18" s="578" t="s">
        <v>232</v>
      </c>
      <c r="C18" s="193" t="s">
        <v>66</v>
      </c>
      <c r="D18" s="538"/>
      <c r="E18" s="516">
        <v>30</v>
      </c>
      <c r="F18" s="510"/>
      <c r="G18" s="510">
        <f t="shared" ref="G18" si="4">F18*E18</f>
        <v>0</v>
      </c>
      <c r="H18" s="510"/>
      <c r="I18" s="540"/>
      <c r="J18" s="510"/>
      <c r="K18" s="540"/>
      <c r="L18" s="510">
        <f t="shared" ref="L18" si="5">K18+I18+G18</f>
        <v>0</v>
      </c>
      <c r="M18" s="505"/>
      <c r="N18" s="124"/>
      <c r="O18" s="124"/>
      <c r="P18" s="124"/>
    </row>
    <row r="19" spans="1:16" s="192" customFormat="1">
      <c r="A19" s="515"/>
      <c r="B19" s="514" t="s">
        <v>51</v>
      </c>
      <c r="C19" s="537" t="s">
        <v>2</v>
      </c>
      <c r="D19" s="538">
        <v>3.5000000000000001E-3</v>
      </c>
      <c r="E19" s="539">
        <f>D19*E14</f>
        <v>2.0300000000000002</v>
      </c>
      <c r="F19" s="510"/>
      <c r="G19" s="510">
        <f t="shared" si="3"/>
        <v>0</v>
      </c>
      <c r="H19" s="510"/>
      <c r="I19" s="540"/>
      <c r="J19" s="510"/>
      <c r="K19" s="540"/>
      <c r="L19" s="510">
        <f t="shared" si="2"/>
        <v>0</v>
      </c>
      <c r="M19" s="505"/>
      <c r="N19" s="124"/>
      <c r="O19" s="124"/>
      <c r="P19" s="124"/>
    </row>
    <row r="20" spans="1:16" s="192" customFormat="1">
      <c r="A20" s="511">
        <v>3</v>
      </c>
      <c r="B20" s="573" t="s">
        <v>209</v>
      </c>
      <c r="C20" s="579" t="s">
        <v>66</v>
      </c>
      <c r="D20" s="581"/>
      <c r="E20" s="582">
        <v>520</v>
      </c>
      <c r="F20" s="583"/>
      <c r="G20" s="580"/>
      <c r="H20" s="511"/>
      <c r="I20" s="511"/>
      <c r="J20" s="511"/>
      <c r="K20" s="511"/>
      <c r="L20" s="580"/>
      <c r="M20" s="1194"/>
      <c r="N20" s="1189"/>
      <c r="O20" s="1189"/>
      <c r="P20" s="1189"/>
    </row>
    <row r="21" spans="1:16" s="192" customFormat="1">
      <c r="A21" s="515"/>
      <c r="B21" s="536" t="s">
        <v>42</v>
      </c>
      <c r="C21" s="537" t="s">
        <v>43</v>
      </c>
      <c r="D21" s="508">
        <v>0.26</v>
      </c>
      <c r="E21" s="1069">
        <f>D21*E20</f>
        <v>135.20000000000002</v>
      </c>
      <c r="F21" s="508"/>
      <c r="G21" s="540"/>
      <c r="H21" s="510"/>
      <c r="I21" s="510">
        <f>E21*H21</f>
        <v>0</v>
      </c>
      <c r="J21" s="510"/>
      <c r="K21" s="508"/>
      <c r="L21" s="510">
        <f>K21+I21+G21</f>
        <v>0</v>
      </c>
      <c r="M21" s="505"/>
      <c r="N21" s="124"/>
      <c r="O21" s="124"/>
      <c r="P21" s="124"/>
    </row>
    <row r="22" spans="1:16" s="192" customFormat="1">
      <c r="A22" s="515"/>
      <c r="B22" s="514" t="s">
        <v>45</v>
      </c>
      <c r="C22" s="193" t="s">
        <v>2</v>
      </c>
      <c r="D22" s="538">
        <v>0.122</v>
      </c>
      <c r="E22" s="539">
        <f>D22*E20</f>
        <v>63.44</v>
      </c>
      <c r="F22" s="510"/>
      <c r="G22" s="540"/>
      <c r="H22" s="510"/>
      <c r="I22" s="540"/>
      <c r="J22" s="510"/>
      <c r="K22" s="510">
        <f>J22*E22</f>
        <v>0</v>
      </c>
      <c r="L22" s="510">
        <f>K22+I22+G22</f>
        <v>0</v>
      </c>
      <c r="M22" s="505"/>
      <c r="N22" s="124"/>
      <c r="O22" s="124"/>
      <c r="P22" s="124"/>
    </row>
    <row r="23" spans="1:16" s="192" customFormat="1" ht="43.2">
      <c r="A23" s="506"/>
      <c r="B23" s="578" t="s">
        <v>213</v>
      </c>
      <c r="C23" s="503" t="s">
        <v>66</v>
      </c>
      <c r="D23" s="541">
        <v>1</v>
      </c>
      <c r="E23" s="516">
        <f>D23*E20</f>
        <v>520</v>
      </c>
      <c r="F23" s="510"/>
      <c r="G23" s="510">
        <f>F23*E23</f>
        <v>0</v>
      </c>
      <c r="H23" s="508"/>
      <c r="I23" s="515"/>
      <c r="J23" s="510"/>
      <c r="K23" s="540"/>
      <c r="L23" s="510">
        <f>K23+I23+G23</f>
        <v>0</v>
      </c>
      <c r="M23" s="1188"/>
      <c r="N23" s="1189"/>
      <c r="O23" s="1189"/>
      <c r="P23" s="1189"/>
    </row>
    <row r="24" spans="1:16" s="192" customFormat="1">
      <c r="A24" s="506"/>
      <c r="B24" s="514" t="s">
        <v>51</v>
      </c>
      <c r="C24" s="537" t="s">
        <v>2</v>
      </c>
      <c r="D24" s="538">
        <v>8.2000000000000003E-2</v>
      </c>
      <c r="E24" s="1069">
        <f>D24*E20</f>
        <v>42.64</v>
      </c>
      <c r="F24" s="510"/>
      <c r="G24" s="510">
        <f>F24*E24</f>
        <v>0</v>
      </c>
      <c r="H24" s="508"/>
      <c r="I24" s="515"/>
      <c r="J24" s="535"/>
      <c r="K24" s="542"/>
      <c r="L24" s="510">
        <f>K24+I24+G24</f>
        <v>0</v>
      </c>
      <c r="M24" s="505"/>
      <c r="N24" s="124"/>
      <c r="O24" s="124"/>
      <c r="P24" s="124"/>
    </row>
    <row r="25" spans="1:16" s="192" customFormat="1">
      <c r="A25" s="511">
        <v>4</v>
      </c>
      <c r="B25" s="573" t="s">
        <v>210</v>
      </c>
      <c r="C25" s="579" t="s">
        <v>66</v>
      </c>
      <c r="D25" s="581"/>
      <c r="E25" s="584">
        <v>50</v>
      </c>
      <c r="F25" s="583"/>
      <c r="G25" s="580"/>
      <c r="H25" s="511"/>
      <c r="I25" s="511"/>
      <c r="J25" s="511"/>
      <c r="K25" s="511"/>
      <c r="L25" s="580"/>
      <c r="M25" s="1194"/>
      <c r="N25" s="1189"/>
      <c r="O25" s="1189"/>
      <c r="P25" s="1189"/>
    </row>
    <row r="26" spans="1:16" s="192" customFormat="1">
      <c r="A26" s="515"/>
      <c r="B26" s="536" t="s">
        <v>42</v>
      </c>
      <c r="C26" s="537" t="s">
        <v>43</v>
      </c>
      <c r="D26" s="508">
        <v>0.32</v>
      </c>
      <c r="E26" s="1069">
        <f>D26*E25</f>
        <v>16</v>
      </c>
      <c r="F26" s="508"/>
      <c r="G26" s="540"/>
      <c r="H26" s="510"/>
      <c r="I26" s="510">
        <f>E26*H26</f>
        <v>0</v>
      </c>
      <c r="J26" s="510"/>
      <c r="K26" s="508"/>
      <c r="L26" s="510">
        <f>K26+I26+G26</f>
        <v>0</v>
      </c>
      <c r="M26" s="505"/>
      <c r="N26" s="124"/>
      <c r="O26" s="124"/>
      <c r="P26" s="124"/>
    </row>
    <row r="27" spans="1:16" s="192" customFormat="1">
      <c r="A27" s="515"/>
      <c r="B27" s="514" t="s">
        <v>45</v>
      </c>
      <c r="C27" s="193" t="s">
        <v>2</v>
      </c>
      <c r="D27" s="538">
        <v>0.192</v>
      </c>
      <c r="E27" s="539">
        <f>D27*E25</f>
        <v>9.6</v>
      </c>
      <c r="F27" s="510"/>
      <c r="G27" s="540"/>
      <c r="H27" s="510"/>
      <c r="I27" s="540"/>
      <c r="J27" s="510"/>
      <c r="K27" s="510">
        <f>J27*E27</f>
        <v>0</v>
      </c>
      <c r="L27" s="510">
        <f>K27+I27+G27</f>
        <v>0</v>
      </c>
      <c r="M27" s="505"/>
      <c r="N27" s="124"/>
      <c r="O27" s="124"/>
      <c r="P27" s="124"/>
    </row>
    <row r="28" spans="1:16" s="192" customFormat="1" ht="43.2">
      <c r="A28" s="506"/>
      <c r="B28" s="578" t="s">
        <v>214</v>
      </c>
      <c r="C28" s="503" t="s">
        <v>66</v>
      </c>
      <c r="D28" s="538">
        <v>1</v>
      </c>
      <c r="E28" s="516">
        <f>D28*E25</f>
        <v>50</v>
      </c>
      <c r="F28" s="510"/>
      <c r="G28" s="510">
        <f>F28*E28</f>
        <v>0</v>
      </c>
      <c r="H28" s="508"/>
      <c r="I28" s="515"/>
      <c r="J28" s="510"/>
      <c r="K28" s="540"/>
      <c r="L28" s="510">
        <f>K28+I28+G28</f>
        <v>0</v>
      </c>
      <c r="M28" s="1194"/>
      <c r="N28" s="1189"/>
      <c r="O28" s="1189"/>
      <c r="P28" s="1189"/>
    </row>
    <row r="29" spans="1:16" s="192" customFormat="1">
      <c r="A29" s="506"/>
      <c r="B29" s="514" t="s">
        <v>51</v>
      </c>
      <c r="C29" s="537" t="s">
        <v>2</v>
      </c>
      <c r="D29" s="538">
        <v>0.128</v>
      </c>
      <c r="E29" s="1069">
        <f>D29*E25</f>
        <v>6.4</v>
      </c>
      <c r="F29" s="510"/>
      <c r="G29" s="510">
        <f>F29*E29</f>
        <v>0</v>
      </c>
      <c r="H29" s="508"/>
      <c r="I29" s="515"/>
      <c r="J29" s="535"/>
      <c r="K29" s="542"/>
      <c r="L29" s="510">
        <f>K29+I29+G29</f>
        <v>0</v>
      </c>
      <c r="M29" s="505"/>
      <c r="N29" s="124"/>
      <c r="O29" s="124"/>
      <c r="P29" s="124"/>
    </row>
    <row r="30" spans="1:16" s="192" customFormat="1" ht="16.2">
      <c r="A30" s="586">
        <v>5</v>
      </c>
      <c r="B30" s="511" t="s">
        <v>98</v>
      </c>
      <c r="C30" s="585" t="s">
        <v>62</v>
      </c>
      <c r="D30" s="586"/>
      <c r="E30" s="587">
        <v>7</v>
      </c>
      <c r="F30" s="586"/>
      <c r="G30" s="588"/>
      <c r="H30" s="589"/>
      <c r="I30" s="586"/>
      <c r="J30" s="589"/>
      <c r="K30" s="586"/>
      <c r="L30" s="588"/>
      <c r="M30" s="505"/>
      <c r="N30" s="124"/>
      <c r="O30" s="124"/>
      <c r="P30" s="124"/>
    </row>
    <row r="31" spans="1:16" s="192" customFormat="1" ht="16.2">
      <c r="A31" s="544"/>
      <c r="B31" s="536" t="s">
        <v>42</v>
      </c>
      <c r="C31" s="537" t="s">
        <v>43</v>
      </c>
      <c r="D31" s="508">
        <v>0.22</v>
      </c>
      <c r="E31" s="552">
        <f>D31*E30</f>
        <v>1.54</v>
      </c>
      <c r="F31" s="508"/>
      <c r="G31" s="548"/>
      <c r="H31" s="510"/>
      <c r="I31" s="510">
        <f>E31*H31</f>
        <v>0</v>
      </c>
      <c r="J31" s="510"/>
      <c r="K31" s="508"/>
      <c r="L31" s="1200">
        <f t="shared" ref="L31:L35" si="6">K31+I31+G31</f>
        <v>0</v>
      </c>
      <c r="M31" s="505"/>
      <c r="N31" s="124"/>
      <c r="O31" s="124"/>
      <c r="P31" s="124"/>
    </row>
    <row r="32" spans="1:16" s="192" customFormat="1" ht="28.8">
      <c r="A32" s="544"/>
      <c r="B32" s="578" t="s">
        <v>215</v>
      </c>
      <c r="C32" s="503" t="s">
        <v>62</v>
      </c>
      <c r="D32" s="545">
        <v>1</v>
      </c>
      <c r="E32" s="1070">
        <f>D32*E30</f>
        <v>7</v>
      </c>
      <c r="F32" s="553"/>
      <c r="G32" s="1200">
        <f t="shared" ref="G32:G35" si="7">F32*E32</f>
        <v>0</v>
      </c>
      <c r="H32" s="546"/>
      <c r="I32" s="545"/>
      <c r="J32" s="546"/>
      <c r="K32" s="545"/>
      <c r="L32" s="1200">
        <f t="shared" si="6"/>
        <v>0</v>
      </c>
      <c r="M32" s="505"/>
      <c r="N32" s="124"/>
      <c r="O32" s="124"/>
      <c r="P32" s="124"/>
    </row>
    <row r="33" spans="1:16" s="192" customFormat="1" ht="16.2">
      <c r="A33" s="544"/>
      <c r="B33" s="572" t="s">
        <v>217</v>
      </c>
      <c r="C33" s="503" t="s">
        <v>62</v>
      </c>
      <c r="D33" s="507">
        <v>1</v>
      </c>
      <c r="E33" s="1071">
        <f>D33*E30</f>
        <v>7</v>
      </c>
      <c r="F33" s="590"/>
      <c r="G33" s="1200">
        <f t="shared" ref="G33" si="8">F33*E33</f>
        <v>0</v>
      </c>
      <c r="H33" s="546"/>
      <c r="I33" s="545"/>
      <c r="J33" s="546"/>
      <c r="K33" s="545"/>
      <c r="L33" s="1200">
        <f t="shared" ref="L33" si="9">K33+I33+G33</f>
        <v>0</v>
      </c>
      <c r="M33" s="505"/>
      <c r="N33" s="124"/>
      <c r="O33" s="124"/>
      <c r="P33" s="124"/>
    </row>
    <row r="34" spans="1:16" s="192" customFormat="1" ht="16.2">
      <c r="A34" s="515"/>
      <c r="B34" s="554" t="s">
        <v>230</v>
      </c>
      <c r="C34" s="503" t="s">
        <v>62</v>
      </c>
      <c r="D34" s="194">
        <v>1</v>
      </c>
      <c r="E34" s="1071">
        <f>D34*E30</f>
        <v>7</v>
      </c>
      <c r="F34" s="555"/>
      <c r="G34" s="99">
        <f t="shared" si="7"/>
        <v>0</v>
      </c>
      <c r="H34" s="99"/>
      <c r="I34" s="98"/>
      <c r="J34" s="99"/>
      <c r="K34" s="98"/>
      <c r="L34" s="99">
        <f t="shared" si="6"/>
        <v>0</v>
      </c>
      <c r="M34" s="1188"/>
      <c r="N34" s="1189"/>
      <c r="O34" s="1189"/>
      <c r="P34" s="1189"/>
    </row>
    <row r="35" spans="1:16" s="192" customFormat="1" ht="16.2">
      <c r="A35" s="544"/>
      <c r="B35" s="514" t="s">
        <v>51</v>
      </c>
      <c r="C35" s="537" t="s">
        <v>2</v>
      </c>
      <c r="D35" s="545">
        <v>8.2799999999999999E-2</v>
      </c>
      <c r="E35" s="552">
        <f>D35*E30</f>
        <v>0.5796</v>
      </c>
      <c r="F35" s="545"/>
      <c r="G35" s="1200">
        <f t="shared" si="7"/>
        <v>0</v>
      </c>
      <c r="H35" s="546"/>
      <c r="I35" s="545"/>
      <c r="J35" s="546"/>
      <c r="K35" s="545"/>
      <c r="L35" s="1200">
        <f t="shared" si="6"/>
        <v>0</v>
      </c>
      <c r="M35" s="505"/>
      <c r="N35" s="124"/>
      <c r="O35" s="124"/>
      <c r="P35" s="124"/>
    </row>
    <row r="36" spans="1:16" s="192" customFormat="1" ht="16.2">
      <c r="A36" s="586">
        <v>6</v>
      </c>
      <c r="B36" s="573" t="s">
        <v>99</v>
      </c>
      <c r="C36" s="585" t="s">
        <v>62</v>
      </c>
      <c r="D36" s="586"/>
      <c r="E36" s="587">
        <v>3</v>
      </c>
      <c r="F36" s="586"/>
      <c r="G36" s="588"/>
      <c r="H36" s="589"/>
      <c r="I36" s="586"/>
      <c r="J36" s="589"/>
      <c r="K36" s="586"/>
      <c r="L36" s="588"/>
      <c r="M36" s="505"/>
      <c r="N36" s="124"/>
      <c r="O36" s="124"/>
      <c r="P36" s="124"/>
    </row>
    <row r="37" spans="1:16" s="192" customFormat="1" ht="16.2">
      <c r="A37" s="544"/>
      <c r="B37" s="536" t="s">
        <v>42</v>
      </c>
      <c r="C37" s="537" t="s">
        <v>43</v>
      </c>
      <c r="D37" s="508">
        <v>0.2</v>
      </c>
      <c r="E37" s="552">
        <f>D37*E36</f>
        <v>0.60000000000000009</v>
      </c>
      <c r="F37" s="508"/>
      <c r="G37" s="548"/>
      <c r="H37" s="510"/>
      <c r="I37" s="510">
        <f>E37*H37</f>
        <v>0</v>
      </c>
      <c r="J37" s="510"/>
      <c r="K37" s="508"/>
      <c r="L37" s="1200">
        <f>K37+I37+G37</f>
        <v>0</v>
      </c>
      <c r="M37" s="505"/>
      <c r="N37" s="124"/>
      <c r="O37" s="124"/>
      <c r="P37" s="124"/>
    </row>
    <row r="38" spans="1:16" s="192" customFormat="1" ht="16.2">
      <c r="A38" s="544"/>
      <c r="B38" s="572" t="s">
        <v>216</v>
      </c>
      <c r="C38" s="549" t="s">
        <v>62</v>
      </c>
      <c r="D38" s="545">
        <v>1</v>
      </c>
      <c r="E38" s="516">
        <f>D38*E36</f>
        <v>3</v>
      </c>
      <c r="F38" s="545"/>
      <c r="G38" s="1200">
        <f>F38*E38</f>
        <v>0</v>
      </c>
      <c r="H38" s="546"/>
      <c r="I38" s="545"/>
      <c r="J38" s="546"/>
      <c r="K38" s="545"/>
      <c r="L38" s="1200">
        <f>K38+I38+G38</f>
        <v>0</v>
      </c>
      <c r="M38" s="505"/>
      <c r="N38" s="124"/>
      <c r="O38" s="124"/>
      <c r="P38" s="124"/>
    </row>
    <row r="39" spans="1:16" s="192" customFormat="1" ht="16.2">
      <c r="A39" s="544"/>
      <c r="B39" s="572" t="s">
        <v>217</v>
      </c>
      <c r="C39" s="202"/>
      <c r="D39" s="507">
        <v>1</v>
      </c>
      <c r="E39" s="1072">
        <f>D39*E36</f>
        <v>3</v>
      </c>
      <c r="F39" s="591"/>
      <c r="G39" s="1200">
        <f>F39*E39</f>
        <v>0</v>
      </c>
      <c r="H39" s="546"/>
      <c r="I39" s="545"/>
      <c r="J39" s="546"/>
      <c r="K39" s="545"/>
      <c r="L39" s="1200">
        <f>K39+I39+G39</f>
        <v>0</v>
      </c>
      <c r="M39" s="505"/>
      <c r="N39" s="124"/>
      <c r="O39" s="124"/>
      <c r="P39" s="124"/>
    </row>
    <row r="40" spans="1:16" s="192" customFormat="1" ht="16.2">
      <c r="A40" s="515"/>
      <c r="B40" s="554" t="s">
        <v>230</v>
      </c>
      <c r="C40" s="503" t="s">
        <v>62</v>
      </c>
      <c r="D40" s="194">
        <v>1</v>
      </c>
      <c r="E40" s="1073">
        <f>D40*E36</f>
        <v>3</v>
      </c>
      <c r="F40" s="555"/>
      <c r="G40" s="99">
        <f t="shared" ref="G40:G41" si="10">F40*E40</f>
        <v>0</v>
      </c>
      <c r="H40" s="99"/>
      <c r="I40" s="98"/>
      <c r="J40" s="99"/>
      <c r="K40" s="98"/>
      <c r="L40" s="99">
        <f t="shared" ref="L40:L41" si="11">K40+I40+G40</f>
        <v>0</v>
      </c>
      <c r="M40" s="1188"/>
      <c r="N40" s="1189"/>
      <c r="O40" s="1189"/>
      <c r="P40" s="1189"/>
    </row>
    <row r="41" spans="1:16" s="192" customFormat="1" ht="16.2">
      <c r="A41" s="544"/>
      <c r="B41" s="514" t="s">
        <v>51</v>
      </c>
      <c r="C41" s="537" t="s">
        <v>2</v>
      </c>
      <c r="D41" s="545">
        <v>8.2500000000000004E-2</v>
      </c>
      <c r="E41" s="552">
        <f>D41*E36</f>
        <v>0.2475</v>
      </c>
      <c r="F41" s="545"/>
      <c r="G41" s="1200">
        <f t="shared" si="10"/>
        <v>0</v>
      </c>
      <c r="H41" s="546"/>
      <c r="I41" s="545"/>
      <c r="J41" s="546"/>
      <c r="K41" s="545"/>
      <c r="L41" s="1200">
        <f t="shared" si="11"/>
        <v>0</v>
      </c>
      <c r="M41" s="505"/>
      <c r="N41" s="124"/>
      <c r="O41" s="124"/>
      <c r="P41" s="124"/>
    </row>
    <row r="42" spans="1:16" s="192" customFormat="1" ht="16.2">
      <c r="A42" s="544"/>
      <c r="B42" s="514"/>
      <c r="C42" s="537"/>
      <c r="D42" s="545"/>
      <c r="E42" s="552"/>
      <c r="F42" s="545"/>
      <c r="G42" s="548"/>
      <c r="H42" s="546"/>
      <c r="I42" s="545"/>
      <c r="J42" s="546"/>
      <c r="K42" s="545"/>
      <c r="L42" s="548"/>
      <c r="M42" s="505"/>
      <c r="N42" s="124"/>
      <c r="O42" s="124"/>
      <c r="P42" s="124"/>
    </row>
    <row r="43" spans="1:16" s="192" customFormat="1" ht="16.2">
      <c r="A43" s="586">
        <v>7</v>
      </c>
      <c r="B43" s="573" t="s">
        <v>229</v>
      </c>
      <c r="C43" s="585" t="s">
        <v>62</v>
      </c>
      <c r="D43" s="511"/>
      <c r="E43" s="576">
        <v>18</v>
      </c>
      <c r="F43" s="586"/>
      <c r="G43" s="588"/>
      <c r="H43" s="589"/>
      <c r="I43" s="586"/>
      <c r="J43" s="589"/>
      <c r="K43" s="586"/>
      <c r="L43" s="588"/>
      <c r="M43" s="1188"/>
      <c r="N43" s="1189"/>
      <c r="O43" s="1189"/>
      <c r="P43" s="1189"/>
    </row>
    <row r="44" spans="1:16" s="192" customFormat="1">
      <c r="A44" s="544"/>
      <c r="B44" s="536" t="s">
        <v>42</v>
      </c>
      <c r="C44" s="537" t="s">
        <v>43</v>
      </c>
      <c r="D44" s="508">
        <v>0.69</v>
      </c>
      <c r="E44" s="552">
        <f>D44*E43</f>
        <v>12.419999999999998</v>
      </c>
      <c r="F44" s="508"/>
      <c r="G44" s="540"/>
      <c r="H44" s="510"/>
      <c r="I44" s="510">
        <f>E44*H44</f>
        <v>0</v>
      </c>
      <c r="J44" s="510"/>
      <c r="K44" s="508"/>
      <c r="L44" s="540">
        <f>K44+I44+G44</f>
        <v>0</v>
      </c>
      <c r="M44" s="505"/>
      <c r="N44" s="124"/>
      <c r="O44" s="124"/>
      <c r="P44" s="124"/>
    </row>
    <row r="45" spans="1:16" s="192" customFormat="1">
      <c r="A45" s="544"/>
      <c r="B45" s="514" t="s">
        <v>45</v>
      </c>
      <c r="C45" s="193" t="s">
        <v>2</v>
      </c>
      <c r="D45" s="508">
        <v>1.22</v>
      </c>
      <c r="E45" s="552">
        <f>D45*E43</f>
        <v>21.96</v>
      </c>
      <c r="F45" s="508"/>
      <c r="G45" s="540"/>
      <c r="H45" s="510"/>
      <c r="I45" s="508"/>
      <c r="J45" s="510"/>
      <c r="K45" s="510">
        <f>J45*E45</f>
        <v>0</v>
      </c>
      <c r="L45" s="510">
        <f>K45+I45+G45</f>
        <v>0</v>
      </c>
      <c r="M45" s="505"/>
      <c r="N45" s="124"/>
      <c r="O45" s="124"/>
      <c r="P45" s="124"/>
    </row>
    <row r="46" spans="1:16" s="192" customFormat="1" ht="16.2">
      <c r="A46" s="544"/>
      <c r="B46" s="607" t="s">
        <v>228</v>
      </c>
      <c r="C46" s="549" t="s">
        <v>62</v>
      </c>
      <c r="D46" s="545">
        <v>1</v>
      </c>
      <c r="E46" s="1074">
        <f>D46*E43</f>
        <v>18</v>
      </c>
      <c r="F46" s="546"/>
      <c r="G46" s="1200">
        <f t="shared" ref="G46:G47" si="12">F46*E46</f>
        <v>0</v>
      </c>
      <c r="H46" s="546"/>
      <c r="I46" s="545"/>
      <c r="J46" s="546"/>
      <c r="K46" s="545"/>
      <c r="L46" s="1200">
        <f t="shared" ref="L46:L47" si="13">K46+I46+G46</f>
        <v>0</v>
      </c>
      <c r="M46" s="505"/>
      <c r="N46" s="124"/>
      <c r="O46" s="124"/>
      <c r="P46" s="124"/>
    </row>
    <row r="47" spans="1:16" s="192" customFormat="1" ht="16.2">
      <c r="A47" s="544"/>
      <c r="B47" s="514" t="s">
        <v>51</v>
      </c>
      <c r="C47" s="537" t="s">
        <v>2</v>
      </c>
      <c r="D47" s="508">
        <v>1.33</v>
      </c>
      <c r="E47" s="552">
        <f>D47*E43</f>
        <v>23.94</v>
      </c>
      <c r="F47" s="545"/>
      <c r="G47" s="1200">
        <f t="shared" si="12"/>
        <v>0</v>
      </c>
      <c r="H47" s="546"/>
      <c r="I47" s="545"/>
      <c r="J47" s="546"/>
      <c r="K47" s="545"/>
      <c r="L47" s="1200">
        <f t="shared" si="13"/>
        <v>0</v>
      </c>
      <c r="M47" s="505"/>
      <c r="N47" s="124"/>
      <c r="O47" s="124"/>
      <c r="P47" s="124"/>
    </row>
    <row r="48" spans="1:16" s="192" customFormat="1" ht="15.75" customHeight="1">
      <c r="A48" s="586">
        <v>8</v>
      </c>
      <c r="B48" s="511" t="s">
        <v>223</v>
      </c>
      <c r="C48" s="599"/>
      <c r="D48" s="600"/>
      <c r="E48" s="601"/>
      <c r="F48" s="602"/>
      <c r="G48" s="603"/>
      <c r="H48" s="604"/>
      <c r="I48" s="603"/>
      <c r="J48" s="604"/>
      <c r="K48" s="603"/>
      <c r="L48" s="603"/>
      <c r="M48" s="505"/>
      <c r="N48" s="124"/>
      <c r="O48" s="124"/>
      <c r="P48" s="124"/>
    </row>
    <row r="49" spans="1:23" s="192" customFormat="1" ht="15.75" customHeight="1">
      <c r="A49" s="544"/>
      <c r="B49" s="572" t="s">
        <v>224</v>
      </c>
      <c r="C49" s="193" t="s">
        <v>62</v>
      </c>
      <c r="D49" s="1016"/>
      <c r="E49" s="516">
        <v>10</v>
      </c>
      <c r="F49" s="546"/>
      <c r="G49" s="1201">
        <f t="shared" ref="G49:G50" si="14">E49*F49</f>
        <v>0</v>
      </c>
      <c r="H49" s="606"/>
      <c r="I49" s="606"/>
      <c r="J49" s="606"/>
      <c r="K49" s="606"/>
      <c r="L49" s="1202">
        <f t="shared" ref="L49:L50" si="15">K49+I49+G49</f>
        <v>0</v>
      </c>
      <c r="M49" s="505"/>
      <c r="N49" s="124"/>
      <c r="O49" s="124"/>
      <c r="P49" s="124"/>
    </row>
    <row r="50" spans="1:23" s="192" customFormat="1" ht="15.75" customHeight="1">
      <c r="A50" s="544"/>
      <c r="B50" s="608" t="s">
        <v>225</v>
      </c>
      <c r="C50" s="193" t="s">
        <v>62</v>
      </c>
      <c r="D50" s="605"/>
      <c r="E50" s="1075">
        <v>30</v>
      </c>
      <c r="F50" s="546"/>
      <c r="G50" s="1201">
        <f t="shared" si="14"/>
        <v>0</v>
      </c>
      <c r="H50" s="606"/>
      <c r="I50" s="606"/>
      <c r="J50" s="606"/>
      <c r="K50" s="606"/>
      <c r="L50" s="1202">
        <f t="shared" si="15"/>
        <v>0</v>
      </c>
      <c r="M50" s="505"/>
      <c r="N50" s="124"/>
      <c r="O50" s="124"/>
      <c r="P50" s="124"/>
    </row>
    <row r="51" spans="1:23" s="192" customFormat="1" ht="15.75" customHeight="1">
      <c r="A51" s="544"/>
      <c r="B51" s="572" t="s">
        <v>226</v>
      </c>
      <c r="C51" s="193" t="s">
        <v>62</v>
      </c>
      <c r="D51" s="605"/>
      <c r="E51" s="1075">
        <v>25</v>
      </c>
      <c r="F51" s="546"/>
      <c r="G51" s="1201">
        <f t="shared" ref="G51" si="16">E51*F51</f>
        <v>0</v>
      </c>
      <c r="H51" s="606"/>
      <c r="I51" s="606"/>
      <c r="J51" s="606"/>
      <c r="K51" s="606"/>
      <c r="L51" s="1202">
        <f t="shared" ref="L51" si="17">K51+I51+G51</f>
        <v>0</v>
      </c>
      <c r="M51" s="505"/>
      <c r="N51" s="124"/>
      <c r="O51" s="124"/>
      <c r="P51" s="124"/>
    </row>
    <row r="52" spans="1:23" s="192" customFormat="1" ht="15.75" customHeight="1">
      <c r="A52" s="544"/>
      <c r="B52" s="572" t="s">
        <v>227</v>
      </c>
      <c r="C52" s="193" t="s">
        <v>62</v>
      </c>
      <c r="D52" s="605"/>
      <c r="E52" s="1075">
        <v>20</v>
      </c>
      <c r="F52" s="546"/>
      <c r="G52" s="1201">
        <f t="shared" ref="G52" si="18">E52*F52</f>
        <v>0</v>
      </c>
      <c r="H52" s="606"/>
      <c r="I52" s="606"/>
      <c r="J52" s="606"/>
      <c r="K52" s="606"/>
      <c r="L52" s="1202">
        <f t="shared" ref="L52" si="19">K52+I52+G52</f>
        <v>0</v>
      </c>
      <c r="M52" s="505"/>
      <c r="N52" s="124"/>
      <c r="O52" s="124"/>
      <c r="P52" s="124"/>
    </row>
    <row r="53" spans="1:23" s="192" customFormat="1" ht="15.75" customHeight="1" thickBot="1">
      <c r="A53" s="544"/>
      <c r="B53" s="514"/>
      <c r="C53" s="193"/>
      <c r="D53" s="508"/>
      <c r="E53" s="516"/>
      <c r="F53" s="546"/>
      <c r="G53" s="540"/>
      <c r="H53" s="510"/>
      <c r="I53" s="540"/>
      <c r="J53" s="510"/>
      <c r="K53" s="540"/>
      <c r="L53" s="540"/>
      <c r="M53" s="505"/>
      <c r="N53" s="124"/>
      <c r="O53" s="124"/>
      <c r="P53" s="124"/>
    </row>
    <row r="54" spans="1:23" s="43" customFormat="1" ht="15.75" customHeight="1">
      <c r="A54" s="204"/>
      <c r="B54" s="206" t="s">
        <v>21</v>
      </c>
      <c r="C54" s="206"/>
      <c r="D54" s="205"/>
      <c r="E54" s="206"/>
      <c r="F54" s="206"/>
      <c r="G54" s="207">
        <f>SUM(G9:G53)</f>
        <v>0</v>
      </c>
      <c r="H54" s="207"/>
      <c r="I54" s="207">
        <f>SUM(I9:I53)</f>
        <v>0</v>
      </c>
      <c r="J54" s="207"/>
      <c r="K54" s="207">
        <f>SUM(K9:K53)</f>
        <v>0</v>
      </c>
      <c r="L54" s="207">
        <f>SUM(L9:L53)</f>
        <v>0</v>
      </c>
      <c r="M54" s="505"/>
      <c r="N54" s="124"/>
      <c r="O54" s="124"/>
      <c r="P54" s="124"/>
      <c r="Q54" s="192"/>
      <c r="R54" s="192"/>
      <c r="S54" s="192"/>
      <c r="T54" s="192"/>
      <c r="U54" s="192"/>
      <c r="V54" s="192"/>
      <c r="W54" s="192"/>
    </row>
    <row r="55" spans="1:23" s="192" customFormat="1" ht="16.5" customHeight="1">
      <c r="A55" s="733"/>
      <c r="B55" s="745" t="s">
        <v>336</v>
      </c>
      <c r="C55" s="958">
        <v>0.05</v>
      </c>
      <c r="D55" s="735"/>
      <c r="E55" s="736"/>
      <c r="F55" s="736"/>
      <c r="G55" s="739"/>
      <c r="H55" s="736"/>
      <c r="I55" s="739"/>
      <c r="J55" s="738"/>
      <c r="K55" s="739"/>
      <c r="L55" s="739">
        <f>G54*C55</f>
        <v>0</v>
      </c>
      <c r="M55" s="150"/>
      <c r="N55" s="124"/>
      <c r="T55" s="277"/>
    </row>
    <row r="56" spans="1:23" s="192" customFormat="1" ht="16.5" customHeight="1">
      <c r="A56" s="733"/>
      <c r="B56" s="126" t="s">
        <v>21</v>
      </c>
      <c r="C56" s="725"/>
      <c r="D56" s="735"/>
      <c r="E56" s="736"/>
      <c r="F56" s="736"/>
      <c r="G56" s="739"/>
      <c r="H56" s="736"/>
      <c r="I56" s="739"/>
      <c r="J56" s="738"/>
      <c r="K56" s="739"/>
      <c r="L56" s="959">
        <f>L54+L55</f>
        <v>0</v>
      </c>
      <c r="M56" s="150"/>
      <c r="N56" s="124"/>
      <c r="T56" s="277"/>
    </row>
    <row r="57" spans="1:23" s="43" customFormat="1" ht="15.75" customHeight="1">
      <c r="A57" s="208"/>
      <c r="B57" s="543" t="s">
        <v>93</v>
      </c>
      <c r="C57" s="556">
        <v>0.75</v>
      </c>
      <c r="D57" s="956"/>
      <c r="E57" s="556"/>
      <c r="F57" s="956"/>
      <c r="G57" s="557"/>
      <c r="H57" s="557"/>
      <c r="I57" s="557"/>
      <c r="J57" s="557"/>
      <c r="K57" s="558"/>
      <c r="L57" s="510">
        <f>I54*C57</f>
        <v>0</v>
      </c>
      <c r="M57" s="955"/>
      <c r="N57" s="124"/>
      <c r="O57" s="124"/>
      <c r="P57" s="124"/>
      <c r="Q57" s="192"/>
      <c r="R57" s="192"/>
      <c r="S57" s="192"/>
      <c r="T57" s="192"/>
      <c r="U57" s="192"/>
      <c r="V57" s="192"/>
      <c r="W57" s="192"/>
    </row>
    <row r="58" spans="1:23" s="43" customFormat="1" ht="15.75" customHeight="1">
      <c r="A58" s="208"/>
      <c r="B58" s="956" t="s">
        <v>21</v>
      </c>
      <c r="C58" s="515"/>
      <c r="D58" s="956"/>
      <c r="E58" s="515"/>
      <c r="F58" s="515"/>
      <c r="G58" s="559"/>
      <c r="H58" s="559"/>
      <c r="I58" s="559"/>
      <c r="J58" s="559"/>
      <c r="K58" s="560"/>
      <c r="L58" s="535">
        <f>L56+L57</f>
        <v>0</v>
      </c>
      <c r="M58" s="955"/>
      <c r="N58" s="124"/>
      <c r="O58" s="124"/>
      <c r="P58" s="124"/>
      <c r="Q58" s="192"/>
      <c r="R58" s="192"/>
      <c r="S58" s="192"/>
      <c r="T58" s="192"/>
      <c r="U58" s="192"/>
      <c r="V58" s="192"/>
      <c r="W58" s="192"/>
    </row>
    <row r="59" spans="1:23" s="43" customFormat="1" ht="15.75" customHeight="1">
      <c r="A59" s="208"/>
      <c r="B59" s="543" t="s">
        <v>96</v>
      </c>
      <c r="C59" s="556">
        <v>0.08</v>
      </c>
      <c r="D59" s="956"/>
      <c r="E59" s="556"/>
      <c r="F59" s="956"/>
      <c r="G59" s="557"/>
      <c r="H59" s="557"/>
      <c r="I59" s="557"/>
      <c r="J59" s="557"/>
      <c r="K59" s="558"/>
      <c r="L59" s="510">
        <f>L58*C59</f>
        <v>0</v>
      </c>
      <c r="M59" s="955"/>
      <c r="N59" s="124"/>
      <c r="O59" s="124"/>
      <c r="P59" s="124"/>
      <c r="Q59" s="192"/>
      <c r="R59" s="192"/>
      <c r="S59" s="192"/>
      <c r="T59" s="192"/>
      <c r="U59" s="192"/>
      <c r="V59" s="192"/>
      <c r="W59" s="192"/>
    </row>
    <row r="60" spans="1:23" s="192" customFormat="1" ht="15.75" customHeight="1">
      <c r="A60" s="208"/>
      <c r="B60" s="956" t="s">
        <v>21</v>
      </c>
      <c r="C60" s="515"/>
      <c r="D60" s="956"/>
      <c r="E60" s="515"/>
      <c r="F60" s="515"/>
      <c r="G60" s="559"/>
      <c r="H60" s="559"/>
      <c r="I60" s="559"/>
      <c r="J60" s="559"/>
      <c r="K60" s="560"/>
      <c r="L60" s="535">
        <f>SUM(L58:L59)</f>
        <v>0</v>
      </c>
      <c r="M60" s="955"/>
      <c r="N60" s="124"/>
      <c r="O60" s="124"/>
      <c r="P60" s="124"/>
    </row>
    <row r="61" spans="1:23" s="192" customFormat="1" ht="15.75" customHeight="1">
      <c r="A61" s="544"/>
      <c r="B61" s="550"/>
      <c r="C61" s="514"/>
      <c r="D61" s="545"/>
      <c r="E61" s="550"/>
      <c r="F61" s="545"/>
      <c r="G61" s="550"/>
      <c r="H61" s="551"/>
      <c r="I61" s="550"/>
      <c r="J61" s="551"/>
      <c r="K61" s="550"/>
      <c r="L61" s="550"/>
      <c r="M61" s="505"/>
      <c r="N61" s="124"/>
      <c r="O61" s="124"/>
      <c r="P61" s="124"/>
    </row>
    <row r="62" spans="1:23" s="43" customFormat="1" ht="15.75" customHeight="1">
      <c r="A62" s="515"/>
      <c r="B62" s="561"/>
      <c r="C62" s="508"/>
      <c r="D62" s="508"/>
      <c r="E62" s="510"/>
      <c r="F62" s="546"/>
      <c r="G62" s="540"/>
      <c r="H62" s="510"/>
      <c r="I62" s="540"/>
      <c r="J62" s="510"/>
      <c r="K62" s="540"/>
      <c r="L62" s="540"/>
      <c r="M62" s="505"/>
      <c r="N62" s="505"/>
      <c r="O62" s="505"/>
      <c r="P62" s="505"/>
    </row>
    <row r="63" spans="1:23" s="8" customFormat="1">
      <c r="A63" s="529"/>
      <c r="B63" s="529" t="s">
        <v>218</v>
      </c>
      <c r="C63" s="498"/>
      <c r="D63" s="532"/>
      <c r="E63" s="499"/>
      <c r="F63" s="499"/>
      <c r="G63" s="499"/>
      <c r="H63" s="499"/>
      <c r="I63" s="499"/>
      <c r="J63" s="499"/>
      <c r="K63" s="499"/>
      <c r="L63" s="499"/>
      <c r="M63" s="531"/>
      <c r="N63" s="531"/>
      <c r="O63" s="531"/>
      <c r="P63" s="531"/>
      <c r="Q63" s="531"/>
    </row>
    <row r="64" spans="1:23" s="11" customFormat="1" ht="49.8" customHeight="1">
      <c r="A64" s="511">
        <v>1</v>
      </c>
      <c r="B64" s="573" t="s">
        <v>222</v>
      </c>
      <c r="C64" s="511" t="s">
        <v>41</v>
      </c>
      <c r="D64" s="512"/>
      <c r="E64" s="513">
        <f>27/100*80</f>
        <v>21.6</v>
      </c>
      <c r="F64" s="513"/>
      <c r="G64" s="513"/>
      <c r="H64" s="513"/>
      <c r="I64" s="513"/>
      <c r="J64" s="513"/>
      <c r="K64" s="513"/>
      <c r="L64" s="513"/>
      <c r="M64" s="1190"/>
      <c r="N64" s="1191"/>
      <c r="O64" s="1191"/>
      <c r="P64" s="1191"/>
      <c r="Q64" s="1191"/>
    </row>
    <row r="65" spans="1:23" s="8" customFormat="1" ht="17.399999999999999">
      <c r="A65" s="1135"/>
      <c r="B65" s="1136" t="s">
        <v>42</v>
      </c>
      <c r="C65" s="725" t="s">
        <v>143</v>
      </c>
      <c r="D65" s="1137">
        <v>1</v>
      </c>
      <c r="E65" s="739">
        <f>D65*E64</f>
        <v>21.6</v>
      </c>
      <c r="F65" s="729"/>
      <c r="G65" s="1138"/>
      <c r="H65" s="1138"/>
      <c r="I65" s="1138">
        <f>H65*E65</f>
        <v>0</v>
      </c>
      <c r="J65" s="1138"/>
      <c r="K65" s="1138"/>
      <c r="L65" s="1138">
        <f>K65+I65+G65</f>
        <v>0</v>
      </c>
      <c r="M65" s="1109"/>
      <c r="N65" s="1109"/>
      <c r="O65" s="1109"/>
      <c r="P65" s="1109"/>
      <c r="Q65" s="1109"/>
    </row>
    <row r="66" spans="1:23" s="4" customFormat="1" ht="17.399999999999999">
      <c r="A66" s="593">
        <v>2</v>
      </c>
      <c r="B66" s="594" t="s">
        <v>219</v>
      </c>
      <c r="C66" s="595" t="s">
        <v>220</v>
      </c>
      <c r="D66" s="596"/>
      <c r="E66" s="597">
        <f>18/100*80+2.4</f>
        <v>16.799999999999997</v>
      </c>
      <c r="F66" s="598"/>
      <c r="G66" s="598"/>
      <c r="H66" s="598"/>
      <c r="I66" s="598"/>
      <c r="J66" s="598"/>
      <c r="K66" s="598"/>
      <c r="L66" s="598"/>
      <c r="M66" s="592"/>
      <c r="N66" s="592"/>
      <c r="O66" s="592"/>
      <c r="P66" s="592"/>
      <c r="Q66" s="592"/>
    </row>
    <row r="67" spans="1:23" s="8" customFormat="1" ht="17.399999999999999">
      <c r="A67" s="1135"/>
      <c r="B67" s="1136" t="s">
        <v>42</v>
      </c>
      <c r="C67" s="725" t="s">
        <v>143</v>
      </c>
      <c r="D67" s="1137">
        <v>1</v>
      </c>
      <c r="E67" s="739">
        <f>D67*E66</f>
        <v>16.799999999999997</v>
      </c>
      <c r="F67" s="729"/>
      <c r="G67" s="1138"/>
      <c r="H67" s="1138"/>
      <c r="I67" s="1138">
        <f>H67*E67</f>
        <v>0</v>
      </c>
      <c r="J67" s="1138"/>
      <c r="K67" s="1138"/>
      <c r="L67" s="1138">
        <f>K67+I67+G67</f>
        <v>0</v>
      </c>
      <c r="M67" s="1109"/>
      <c r="N67" s="1109"/>
      <c r="O67" s="1109"/>
      <c r="P67" s="1109"/>
      <c r="Q67" s="1109"/>
    </row>
    <row r="68" spans="1:23" s="8" customFormat="1">
      <c r="A68" s="529"/>
      <c r="B68" s="500" t="s">
        <v>221</v>
      </c>
      <c r="C68" s="529" t="s">
        <v>66</v>
      </c>
      <c r="D68" s="509"/>
      <c r="E68" s="510">
        <v>50</v>
      </c>
      <c r="F68" s="510"/>
      <c r="G68" s="547">
        <f>F68*E68</f>
        <v>0</v>
      </c>
      <c r="H68" s="530"/>
      <c r="I68" s="530"/>
      <c r="J68" s="530"/>
      <c r="K68" s="530"/>
      <c r="L68" s="530">
        <f>K68+I68+G68</f>
        <v>0</v>
      </c>
      <c r="M68" s="531"/>
      <c r="N68" s="531"/>
      <c r="O68" s="531"/>
      <c r="P68" s="531"/>
      <c r="Q68" s="531"/>
    </row>
    <row r="69" spans="1:23" s="213" customFormat="1" ht="17.399999999999999" customHeight="1">
      <c r="A69" s="1140"/>
      <c r="B69" s="744" t="s">
        <v>135</v>
      </c>
      <c r="C69" s="725" t="s">
        <v>143</v>
      </c>
      <c r="D69" s="744"/>
      <c r="E69" s="733">
        <f>3/100*80</f>
        <v>2.4</v>
      </c>
      <c r="F69" s="739"/>
      <c r="G69" s="1139">
        <f>F69*E69</f>
        <v>0</v>
      </c>
      <c r="H69" s="1139"/>
      <c r="I69" s="1139"/>
      <c r="J69" s="1139"/>
      <c r="K69" s="1139"/>
      <c r="L69" s="1139">
        <f>K69+I69+G69</f>
        <v>0</v>
      </c>
      <c r="M69" s="1141"/>
      <c r="N69" s="1142"/>
      <c r="O69" s="1142"/>
      <c r="P69" s="1142"/>
    </row>
    <row r="70" spans="1:23" s="50" customFormat="1">
      <c r="A70" s="515"/>
      <c r="B70" s="515" t="s">
        <v>21</v>
      </c>
      <c r="C70" s="515"/>
      <c r="D70" s="509"/>
      <c r="E70" s="535"/>
      <c r="F70" s="535"/>
      <c r="G70" s="559">
        <f>SUM(G64:G68)</f>
        <v>0</v>
      </c>
      <c r="H70" s="559"/>
      <c r="I70" s="559">
        <f>SUM(I64:I68)</f>
        <v>0</v>
      </c>
      <c r="J70" s="559"/>
      <c r="K70" s="559">
        <f>SUM(K64:K68)</f>
        <v>0</v>
      </c>
      <c r="L70" s="559">
        <f>SUM(L64:L68)</f>
        <v>0</v>
      </c>
      <c r="M70" s="214"/>
      <c r="N70" s="214"/>
      <c r="O70" s="214"/>
      <c r="P70" s="214"/>
    </row>
    <row r="71" spans="1:23" s="192" customFormat="1" ht="16.5" customHeight="1">
      <c r="A71" s="733"/>
      <c r="B71" s="745" t="s">
        <v>336</v>
      </c>
      <c r="C71" s="958">
        <v>0.05</v>
      </c>
      <c r="D71" s="735"/>
      <c r="E71" s="736"/>
      <c r="F71" s="736"/>
      <c r="G71" s="739"/>
      <c r="H71" s="736"/>
      <c r="I71" s="739"/>
      <c r="J71" s="738"/>
      <c r="K71" s="739"/>
      <c r="L71" s="739">
        <f>G70*C71</f>
        <v>0</v>
      </c>
      <c r="M71" s="150"/>
      <c r="N71" s="124"/>
      <c r="T71" s="277"/>
    </row>
    <row r="72" spans="1:23" s="192" customFormat="1" ht="16.5" customHeight="1">
      <c r="A72" s="733"/>
      <c r="B72" s="126" t="s">
        <v>21</v>
      </c>
      <c r="C72" s="725"/>
      <c r="D72" s="735"/>
      <c r="E72" s="736"/>
      <c r="F72" s="736"/>
      <c r="G72" s="739"/>
      <c r="H72" s="736"/>
      <c r="I72" s="739"/>
      <c r="J72" s="738"/>
      <c r="K72" s="739"/>
      <c r="L72" s="959">
        <f>L70+L71</f>
        <v>0</v>
      </c>
      <c r="M72" s="150"/>
      <c r="N72" s="124"/>
      <c r="T72" s="277"/>
    </row>
    <row r="73" spans="1:23" s="51" customFormat="1">
      <c r="A73" s="515"/>
      <c r="B73" s="1005" t="s">
        <v>93</v>
      </c>
      <c r="C73" s="562">
        <v>0.1</v>
      </c>
      <c r="D73" s="509"/>
      <c r="E73" s="510"/>
      <c r="F73" s="510"/>
      <c r="G73" s="557"/>
      <c r="H73" s="557"/>
      <c r="I73" s="557"/>
      <c r="J73" s="557"/>
      <c r="K73" s="557"/>
      <c r="L73" s="557">
        <f>L72*C73</f>
        <v>0</v>
      </c>
      <c r="M73" s="1192"/>
      <c r="N73" s="1193"/>
      <c r="O73" s="1193"/>
      <c r="P73" s="1193"/>
    </row>
    <row r="74" spans="1:23" s="50" customFormat="1">
      <c r="A74" s="515"/>
      <c r="B74" s="1005" t="s">
        <v>21</v>
      </c>
      <c r="C74" s="563"/>
      <c r="D74" s="509"/>
      <c r="E74" s="535"/>
      <c r="F74" s="535"/>
      <c r="G74" s="559"/>
      <c r="H74" s="559"/>
      <c r="I74" s="559"/>
      <c r="J74" s="559"/>
      <c r="K74" s="559"/>
      <c r="L74" s="559">
        <f>L72+L73</f>
        <v>0</v>
      </c>
      <c r="M74" s="214"/>
      <c r="N74" s="214"/>
      <c r="O74" s="214"/>
      <c r="P74" s="214"/>
    </row>
    <row r="75" spans="1:23" s="51" customFormat="1">
      <c r="A75" s="515"/>
      <c r="B75" s="543" t="s">
        <v>96</v>
      </c>
      <c r="C75" s="564">
        <v>0.08</v>
      </c>
      <c r="D75" s="509"/>
      <c r="E75" s="510"/>
      <c r="F75" s="510"/>
      <c r="G75" s="557"/>
      <c r="H75" s="557"/>
      <c r="I75" s="557"/>
      <c r="J75" s="557"/>
      <c r="K75" s="557"/>
      <c r="L75" s="557">
        <f>L74*C75</f>
        <v>0</v>
      </c>
      <c r="M75" s="1004"/>
      <c r="N75" s="1004"/>
      <c r="O75" s="1004"/>
      <c r="P75" s="1004"/>
    </row>
    <row r="76" spans="1:23" s="50" customFormat="1" ht="15.75" customHeight="1">
      <c r="A76" s="515"/>
      <c r="B76" s="1005" t="s">
        <v>21</v>
      </c>
      <c r="C76" s="515"/>
      <c r="D76" s="1005"/>
      <c r="E76" s="535"/>
      <c r="F76" s="535"/>
      <c r="G76" s="559"/>
      <c r="H76" s="559"/>
      <c r="I76" s="559"/>
      <c r="J76" s="559"/>
      <c r="K76" s="559"/>
      <c r="L76" s="559">
        <f>SUM(L74:L75)</f>
        <v>0</v>
      </c>
      <c r="M76" s="214"/>
      <c r="N76" s="214"/>
      <c r="O76" s="214"/>
      <c r="P76" s="214"/>
    </row>
    <row r="77" spans="1:23" s="69" customFormat="1" ht="15.75" customHeight="1">
      <c r="A77" s="515"/>
      <c r="B77" s="515" t="s">
        <v>22</v>
      </c>
      <c r="C77" s="515"/>
      <c r="D77" s="515"/>
      <c r="E77" s="535"/>
      <c r="F77" s="535"/>
      <c r="G77" s="559"/>
      <c r="H77" s="559"/>
      <c r="I77" s="559"/>
      <c r="J77" s="559"/>
      <c r="K77" s="559"/>
      <c r="L77" s="559">
        <f>L76+L60</f>
        <v>0</v>
      </c>
      <c r="M77" s="173"/>
      <c r="N77" s="173"/>
      <c r="O77" s="173"/>
      <c r="P77" s="173"/>
    </row>
    <row r="78" spans="1:23" s="293" customFormat="1" ht="15.75" customHeight="1">
      <c r="A78" s="565"/>
      <c r="B78" s="567" t="s">
        <v>104</v>
      </c>
      <c r="C78" s="566"/>
      <c r="D78" s="566"/>
      <c r="E78" s="566"/>
      <c r="F78" s="566"/>
      <c r="G78" s="566"/>
      <c r="H78" s="568"/>
      <c r="I78" s="566"/>
      <c r="J78" s="568"/>
      <c r="K78" s="566"/>
      <c r="L78" s="569">
        <f>L76</f>
        <v>0</v>
      </c>
      <c r="M78" s="570"/>
      <c r="N78" s="571"/>
      <c r="O78" s="571"/>
      <c r="P78" s="571"/>
    </row>
    <row r="79" spans="1:23" s="293" customFormat="1" ht="15.75" customHeight="1">
      <c r="A79" s="565"/>
      <c r="B79" s="567" t="s">
        <v>18</v>
      </c>
      <c r="C79" s="566"/>
      <c r="D79" s="566"/>
      <c r="E79" s="566"/>
      <c r="F79" s="566"/>
      <c r="G79" s="566"/>
      <c r="H79" s="568"/>
      <c r="I79" s="566"/>
      <c r="J79" s="568"/>
      <c r="K79" s="566"/>
      <c r="L79" s="569">
        <f>L60</f>
        <v>0</v>
      </c>
      <c r="M79" s="570"/>
      <c r="N79" s="571"/>
      <c r="O79" s="571"/>
      <c r="P79" s="571"/>
    </row>
    <row r="80" spans="1:23" s="41" customFormat="1" ht="15.75" customHeight="1">
      <c r="B80" s="260"/>
      <c r="C80" s="48"/>
      <c r="D80" s="223"/>
      <c r="E80" s="260"/>
      <c r="F80" s="223"/>
      <c r="G80" s="260"/>
      <c r="H80" s="224"/>
      <c r="I80" s="260"/>
      <c r="J80" s="224"/>
      <c r="K80" s="260"/>
      <c r="L80" s="260"/>
      <c r="M80" s="504"/>
      <c r="N80" s="124"/>
      <c r="O80" s="124"/>
      <c r="P80" s="124"/>
      <c r="Q80" s="192"/>
      <c r="R80" s="192"/>
      <c r="S80" s="192"/>
      <c r="T80" s="192"/>
      <c r="U80" s="192"/>
      <c r="V80" s="192"/>
      <c r="W80" s="192"/>
    </row>
    <row r="81" spans="2:23" s="41" customFormat="1" ht="15.75" customHeight="1">
      <c r="B81" s="260"/>
      <c r="C81" s="48"/>
      <c r="D81" s="223"/>
      <c r="E81" s="260"/>
      <c r="F81" s="223"/>
      <c r="G81" s="260"/>
      <c r="H81" s="224"/>
      <c r="I81" s="260"/>
      <c r="J81" s="224"/>
      <c r="K81" s="260"/>
      <c r="L81" s="260"/>
      <c r="M81" s="504"/>
      <c r="N81" s="124"/>
      <c r="O81" s="124"/>
      <c r="P81" s="124"/>
      <c r="Q81" s="192"/>
      <c r="R81" s="192"/>
      <c r="S81" s="192"/>
      <c r="T81" s="192"/>
      <c r="U81" s="192"/>
      <c r="V81" s="192"/>
      <c r="W81" s="192"/>
    </row>
    <row r="82" spans="2:23" s="41" customFormat="1" ht="15.75" customHeight="1">
      <c r="B82" s="260"/>
      <c r="C82" s="48"/>
      <c r="D82" s="223"/>
      <c r="E82" s="260"/>
      <c r="F82" s="223"/>
      <c r="G82" s="260"/>
      <c r="H82" s="224"/>
      <c r="I82" s="260"/>
      <c r="J82" s="224"/>
      <c r="K82" s="260"/>
      <c r="L82" s="260"/>
      <c r="M82" s="504"/>
      <c r="N82" s="124"/>
      <c r="O82" s="124"/>
      <c r="P82" s="124"/>
      <c r="Q82" s="192"/>
      <c r="R82" s="192"/>
      <c r="S82" s="192"/>
      <c r="T82" s="192"/>
      <c r="U82" s="192"/>
      <c r="V82" s="192"/>
      <c r="W82" s="192"/>
    </row>
    <row r="83" spans="2:23" s="41" customFormat="1" ht="15.75" customHeight="1">
      <c r="B83" s="60"/>
      <c r="C83" s="19"/>
      <c r="D83" s="42"/>
      <c r="E83" s="60"/>
      <c r="F83" s="42"/>
      <c r="G83" s="60"/>
      <c r="H83" s="225"/>
      <c r="I83" s="60"/>
      <c r="J83" s="225"/>
      <c r="K83" s="60"/>
      <c r="L83" s="60"/>
      <c r="M83" s="505"/>
      <c r="N83" s="124"/>
      <c r="O83" s="124"/>
      <c r="P83" s="124"/>
      <c r="Q83" s="192"/>
      <c r="R83" s="192"/>
      <c r="S83" s="192"/>
      <c r="T83" s="192"/>
      <c r="U83" s="192"/>
      <c r="V83" s="192"/>
      <c r="W83" s="192"/>
    </row>
    <row r="84" spans="2:23" s="41" customFormat="1" ht="15.75" customHeight="1">
      <c r="B84" s="60"/>
      <c r="C84" s="19"/>
      <c r="D84" s="42"/>
      <c r="E84" s="60"/>
      <c r="F84" s="42"/>
      <c r="G84" s="60"/>
      <c r="H84" s="225"/>
      <c r="I84" s="60"/>
      <c r="J84" s="225"/>
      <c r="K84" s="60"/>
      <c r="L84" s="60"/>
      <c r="M84" s="505"/>
      <c r="N84" s="124"/>
      <c r="O84" s="124"/>
      <c r="P84" s="124"/>
      <c r="Q84" s="192"/>
      <c r="R84" s="192"/>
      <c r="S84" s="192"/>
      <c r="T84" s="192"/>
      <c r="U84" s="192"/>
      <c r="V84" s="192"/>
      <c r="W84" s="192"/>
    </row>
    <row r="85" spans="2:23" s="41" customFormat="1" ht="15.75" customHeight="1">
      <c r="B85" s="60"/>
      <c r="C85" s="19"/>
      <c r="D85" s="42"/>
      <c r="E85" s="60"/>
      <c r="F85" s="42"/>
      <c r="G85" s="60"/>
      <c r="H85" s="225"/>
      <c r="I85" s="60"/>
      <c r="J85" s="225"/>
      <c r="K85" s="60"/>
      <c r="L85" s="60"/>
      <c r="M85" s="505"/>
      <c r="N85" s="124"/>
      <c r="O85" s="124"/>
      <c r="P85" s="124"/>
      <c r="Q85" s="192"/>
      <c r="R85" s="192"/>
      <c r="S85" s="192"/>
      <c r="T85" s="192"/>
      <c r="U85" s="192"/>
      <c r="V85" s="192"/>
      <c r="W85" s="192"/>
    </row>
    <row r="86" spans="2:23" s="41" customFormat="1" ht="15.75" customHeight="1">
      <c r="B86" s="60"/>
      <c r="C86" s="19"/>
      <c r="D86" s="42"/>
      <c r="E86" s="60"/>
      <c r="F86" s="42"/>
      <c r="G86" s="60"/>
      <c r="H86" s="225"/>
      <c r="I86" s="60"/>
      <c r="J86" s="225"/>
      <c r="K86" s="60"/>
      <c r="L86" s="60"/>
      <c r="M86" s="505"/>
      <c r="N86" s="124"/>
      <c r="O86" s="124"/>
      <c r="P86" s="124"/>
      <c r="Q86" s="192"/>
      <c r="R86" s="192"/>
      <c r="S86" s="192"/>
      <c r="T86" s="192"/>
      <c r="U86" s="192"/>
      <c r="V86" s="192"/>
      <c r="W86" s="192"/>
    </row>
    <row r="87" spans="2:23" s="41" customFormat="1" ht="15.75" customHeight="1">
      <c r="B87" s="60"/>
      <c r="C87" s="19"/>
      <c r="D87" s="42"/>
      <c r="E87" s="60"/>
      <c r="F87" s="42"/>
      <c r="G87" s="60"/>
      <c r="H87" s="225"/>
      <c r="I87" s="60"/>
      <c r="J87" s="225"/>
      <c r="K87" s="60"/>
      <c r="L87" s="60"/>
      <c r="M87" s="505"/>
      <c r="N87" s="124"/>
      <c r="O87" s="124"/>
      <c r="P87" s="124"/>
      <c r="Q87" s="192"/>
      <c r="R87" s="192"/>
      <c r="S87" s="192"/>
      <c r="T87" s="192"/>
      <c r="U87" s="192"/>
      <c r="V87" s="192"/>
      <c r="W87" s="192"/>
    </row>
    <row r="88" spans="2:23" s="41" customFormat="1" ht="15.75" customHeight="1">
      <c r="B88" s="60"/>
      <c r="C88" s="19"/>
      <c r="D88" s="42"/>
      <c r="E88" s="60"/>
      <c r="F88" s="42"/>
      <c r="G88" s="60"/>
      <c r="H88" s="225"/>
      <c r="I88" s="60"/>
      <c r="J88" s="225"/>
      <c r="K88" s="60"/>
      <c r="L88" s="60"/>
      <c r="M88" s="505"/>
      <c r="N88" s="124"/>
      <c r="O88" s="124"/>
      <c r="P88" s="124"/>
      <c r="Q88" s="192"/>
      <c r="R88" s="192"/>
      <c r="S88" s="192"/>
      <c r="T88" s="192"/>
      <c r="U88" s="192"/>
      <c r="V88" s="192"/>
      <c r="W88" s="192"/>
    </row>
    <row r="89" spans="2:23" s="41" customFormat="1" ht="15.75" customHeight="1">
      <c r="B89" s="60"/>
      <c r="C89" s="19"/>
      <c r="D89" s="42"/>
      <c r="E89" s="60"/>
      <c r="F89" s="42"/>
      <c r="G89" s="60"/>
      <c r="H89" s="225"/>
      <c r="I89" s="60"/>
      <c r="J89" s="225"/>
      <c r="K89" s="60"/>
      <c r="L89" s="60"/>
      <c r="M89" s="505"/>
      <c r="N89" s="124"/>
      <c r="O89" s="124"/>
      <c r="P89" s="124"/>
      <c r="Q89" s="192"/>
      <c r="R89" s="192"/>
      <c r="S89" s="192"/>
      <c r="T89" s="192"/>
      <c r="U89" s="192"/>
      <c r="V89" s="192"/>
      <c r="W89" s="192"/>
    </row>
    <row r="90" spans="2:23" s="41" customFormat="1" ht="15.75" customHeight="1">
      <c r="B90" s="60"/>
      <c r="C90" s="19"/>
      <c r="D90" s="42"/>
      <c r="E90" s="60"/>
      <c r="F90" s="42"/>
      <c r="G90" s="60"/>
      <c r="H90" s="225"/>
      <c r="I90" s="60"/>
      <c r="J90" s="225"/>
      <c r="K90" s="60"/>
      <c r="L90" s="60"/>
      <c r="M90" s="505"/>
      <c r="N90" s="124"/>
      <c r="O90" s="124"/>
      <c r="P90" s="124"/>
      <c r="Q90" s="192"/>
      <c r="R90" s="192"/>
      <c r="S90" s="192"/>
      <c r="T90" s="192"/>
      <c r="U90" s="192"/>
      <c r="V90" s="192"/>
      <c r="W90" s="192"/>
    </row>
    <row r="91" spans="2:23" s="41" customFormat="1" ht="15.75" customHeight="1">
      <c r="B91" s="60"/>
      <c r="C91" s="19"/>
      <c r="D91" s="42"/>
      <c r="E91" s="60"/>
      <c r="F91" s="42"/>
      <c r="G91" s="60"/>
      <c r="H91" s="225"/>
      <c r="I91" s="60"/>
      <c r="J91" s="225"/>
      <c r="K91" s="60"/>
      <c r="L91" s="60"/>
      <c r="M91" s="505"/>
      <c r="N91" s="124"/>
      <c r="O91" s="124"/>
      <c r="P91" s="124"/>
      <c r="Q91" s="192"/>
      <c r="R91" s="192"/>
      <c r="S91" s="192"/>
      <c r="T91" s="192"/>
      <c r="U91" s="192"/>
      <c r="V91" s="192"/>
      <c r="W91" s="192"/>
    </row>
    <row r="92" spans="2:23" s="41" customFormat="1" ht="15.75" customHeight="1">
      <c r="B92" s="60"/>
      <c r="C92" s="19"/>
      <c r="D92" s="42"/>
      <c r="E92" s="60"/>
      <c r="F92" s="42"/>
      <c r="G92" s="60"/>
      <c r="H92" s="225"/>
      <c r="I92" s="60"/>
      <c r="J92" s="225"/>
      <c r="K92" s="60"/>
      <c r="L92" s="60"/>
      <c r="M92" s="505"/>
      <c r="N92" s="124"/>
      <c r="O92" s="124"/>
      <c r="P92" s="124"/>
      <c r="Q92" s="192"/>
      <c r="R92" s="192"/>
      <c r="S92" s="192"/>
      <c r="T92" s="192"/>
      <c r="U92" s="192"/>
      <c r="V92" s="192"/>
      <c r="W92" s="192"/>
    </row>
    <row r="93" spans="2:23" s="192" customFormat="1" ht="15.75" customHeight="1">
      <c r="B93" s="60"/>
      <c r="C93" s="19"/>
      <c r="D93" s="42"/>
      <c r="E93" s="60"/>
      <c r="F93" s="42"/>
      <c r="G93" s="60"/>
      <c r="H93" s="225"/>
      <c r="I93" s="60"/>
      <c r="J93" s="225"/>
      <c r="K93" s="60"/>
      <c r="L93" s="60"/>
      <c r="M93" s="505"/>
      <c r="N93" s="124"/>
      <c r="O93" s="124"/>
      <c r="P93" s="124"/>
    </row>
    <row r="94" spans="2:23" s="192" customFormat="1" ht="15.75" customHeight="1">
      <c r="B94" s="60"/>
      <c r="C94" s="19"/>
      <c r="D94" s="42"/>
      <c r="E94" s="60"/>
      <c r="F94" s="42"/>
      <c r="G94" s="60"/>
      <c r="H94" s="225"/>
      <c r="I94" s="60"/>
      <c r="J94" s="225"/>
      <c r="K94" s="60"/>
      <c r="L94" s="60"/>
      <c r="M94" s="505"/>
      <c r="N94" s="124"/>
      <c r="O94" s="124"/>
      <c r="P94" s="124"/>
    </row>
    <row r="95" spans="2:23" s="192" customFormat="1" ht="15.75" customHeight="1">
      <c r="B95" s="60"/>
      <c r="C95" s="19"/>
      <c r="D95" s="42"/>
      <c r="E95" s="60"/>
      <c r="F95" s="42"/>
      <c r="G95" s="60"/>
      <c r="H95" s="225"/>
      <c r="I95" s="60"/>
      <c r="J95" s="225"/>
      <c r="K95" s="60"/>
      <c r="L95" s="60"/>
      <c r="M95" s="505"/>
      <c r="N95" s="124"/>
      <c r="O95" s="124"/>
      <c r="P95" s="124"/>
    </row>
    <row r="96" spans="2:23" s="192" customFormat="1" ht="15.75" customHeight="1">
      <c r="B96" s="60"/>
      <c r="C96" s="19"/>
      <c r="D96" s="42"/>
      <c r="E96" s="60"/>
      <c r="F96" s="42"/>
      <c r="G96" s="60"/>
      <c r="H96" s="225"/>
      <c r="I96" s="60"/>
      <c r="J96" s="225"/>
      <c r="K96" s="60"/>
      <c r="L96" s="60"/>
      <c r="M96" s="505"/>
      <c r="N96" s="124"/>
      <c r="O96" s="124"/>
      <c r="P96" s="124"/>
    </row>
    <row r="97" spans="1:16" s="192" customFormat="1" ht="15.75" customHeight="1">
      <c r="B97" s="60"/>
      <c r="C97" s="19"/>
      <c r="D97" s="42"/>
      <c r="E97" s="60"/>
      <c r="F97" s="42"/>
      <c r="G97" s="60"/>
      <c r="H97" s="225"/>
      <c r="I97" s="60"/>
      <c r="J97" s="225"/>
      <c r="K97" s="60"/>
      <c r="L97" s="60"/>
      <c r="M97" s="505"/>
      <c r="N97" s="124"/>
      <c r="O97" s="124"/>
      <c r="P97" s="124"/>
    </row>
    <row r="98" spans="1:16" ht="15.75" customHeight="1">
      <c r="A98" s="12"/>
    </row>
    <row r="99" spans="1:16" ht="15.75" customHeight="1">
      <c r="A99" s="12"/>
    </row>
  </sheetData>
  <autoFilter ref="A8:L91"/>
  <mergeCells count="22">
    <mergeCell ref="M40:P40"/>
    <mergeCell ref="M43:P43"/>
    <mergeCell ref="M64:Q64"/>
    <mergeCell ref="M73:P73"/>
    <mergeCell ref="M9:P9"/>
    <mergeCell ref="M14:P14"/>
    <mergeCell ref="M15:P15"/>
    <mergeCell ref="M34:P34"/>
    <mergeCell ref="M20:P20"/>
    <mergeCell ref="M23:P23"/>
    <mergeCell ref="M25:P25"/>
    <mergeCell ref="M28:P28"/>
    <mergeCell ref="A2:L2"/>
    <mergeCell ref="A4:L4"/>
    <mergeCell ref="A6:A7"/>
    <mergeCell ref="B6:B7"/>
    <mergeCell ref="C6:C7"/>
    <mergeCell ref="D6:E6"/>
    <mergeCell ref="F6:G6"/>
    <mergeCell ref="H6:I6"/>
    <mergeCell ref="J6:K6"/>
    <mergeCell ref="L6:L7"/>
  </mergeCells>
  <pageMargins left="0.2" right="0.2" top="0.2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72"/>
  <sheetViews>
    <sheetView topLeftCell="A46" zoomScaleNormal="100" zoomScaleSheetLayoutView="100" workbookViewId="0">
      <selection activeCell="K30" sqref="K30:L46"/>
    </sheetView>
  </sheetViews>
  <sheetFormatPr defaultColWidth="9.109375" defaultRowHeight="15"/>
  <cols>
    <col min="1" max="1" width="3.88671875" style="41" customWidth="1"/>
    <col min="2" max="2" width="43" style="43" customWidth="1"/>
    <col min="3" max="3" width="9.6640625" style="19" customWidth="1"/>
    <col min="4" max="4" width="7.33203125" style="60" customWidth="1"/>
    <col min="5" max="5" width="9" style="60" customWidth="1"/>
    <col min="6" max="6" width="8.6640625" style="60" customWidth="1"/>
    <col min="7" max="7" width="8.44140625" style="60" customWidth="1"/>
    <col min="8" max="8" width="8" style="272" customWidth="1"/>
    <col min="9" max="9" width="9" style="60" customWidth="1"/>
    <col min="10" max="10" width="8.109375" style="225" customWidth="1"/>
    <col min="11" max="11" width="8.33203125" style="60" customWidth="1"/>
    <col min="12" max="12" width="12.109375" style="60" customWidth="1"/>
    <col min="13" max="25" width="9.109375" style="359"/>
    <col min="26" max="16384" width="9.109375" style="1"/>
  </cols>
  <sheetData>
    <row r="1" spans="1:14">
      <c r="A1" s="61"/>
      <c r="B1" s="62"/>
      <c r="C1" s="62"/>
      <c r="D1" s="62"/>
      <c r="E1" s="62"/>
      <c r="F1" s="62"/>
      <c r="G1" s="62"/>
      <c r="H1" s="263"/>
      <c r="I1" s="62"/>
      <c r="J1" s="66"/>
      <c r="K1" s="62"/>
      <c r="L1" s="62"/>
    </row>
    <row r="2" spans="1:14" ht="16.5" customHeight="1">
      <c r="A2" s="1177" t="s">
        <v>258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</row>
    <row r="3" spans="1:14" ht="19.8">
      <c r="A3" s="63"/>
      <c r="B3" s="64"/>
      <c r="C3" s="65"/>
      <c r="D3" s="65"/>
      <c r="E3" s="65"/>
      <c r="F3" s="65"/>
      <c r="G3" s="65"/>
      <c r="H3" s="264"/>
      <c r="I3" s="65"/>
      <c r="J3" s="67"/>
      <c r="K3" s="65"/>
      <c r="L3" s="65"/>
    </row>
    <row r="4" spans="1:14" ht="17.399999999999999">
      <c r="A4" s="1177" t="s">
        <v>242</v>
      </c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</row>
    <row r="5" spans="1:14" ht="19.8">
      <c r="A5" s="63"/>
      <c r="B5" s="64"/>
      <c r="C5" s="65"/>
      <c r="D5" s="65"/>
      <c r="E5" s="65"/>
      <c r="F5" s="65"/>
      <c r="G5" s="65"/>
      <c r="H5" s="264"/>
      <c r="I5" s="65"/>
      <c r="J5" s="67"/>
      <c r="K5" s="65"/>
      <c r="L5" s="65"/>
    </row>
    <row r="6" spans="1:14" ht="27" customHeight="1">
      <c r="A6" s="1170" t="s">
        <v>13</v>
      </c>
      <c r="B6" s="1170" t="s">
        <v>27</v>
      </c>
      <c r="C6" s="1170" t="s">
        <v>32</v>
      </c>
      <c r="D6" s="1178" t="s">
        <v>33</v>
      </c>
      <c r="E6" s="1179"/>
      <c r="F6" s="1170" t="s">
        <v>34</v>
      </c>
      <c r="G6" s="1170"/>
      <c r="H6" s="1170" t="s">
        <v>35</v>
      </c>
      <c r="I6" s="1170"/>
      <c r="J6" s="1170" t="s">
        <v>36</v>
      </c>
      <c r="K6" s="1170"/>
      <c r="L6" s="1175" t="s">
        <v>37</v>
      </c>
    </row>
    <row r="7" spans="1:14" ht="30">
      <c r="A7" s="1170"/>
      <c r="B7" s="1170"/>
      <c r="C7" s="1170"/>
      <c r="D7" s="70" t="s">
        <v>38</v>
      </c>
      <c r="E7" s="517" t="s">
        <v>22</v>
      </c>
      <c r="F7" s="70" t="s">
        <v>39</v>
      </c>
      <c r="G7" s="517" t="s">
        <v>40</v>
      </c>
      <c r="H7" s="518" t="s">
        <v>39</v>
      </c>
      <c r="I7" s="517" t="s">
        <v>40</v>
      </c>
      <c r="J7" s="70" t="s">
        <v>39</v>
      </c>
      <c r="K7" s="517" t="s">
        <v>40</v>
      </c>
      <c r="L7" s="1176"/>
    </row>
    <row r="8" spans="1:14" s="248" customFormat="1" ht="21" customHeight="1">
      <c r="A8" s="110">
        <v>1</v>
      </c>
      <c r="B8" s="110">
        <v>2</v>
      </c>
      <c r="C8" s="111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274">
        <v>10</v>
      </c>
      <c r="K8" s="112">
        <v>11</v>
      </c>
      <c r="L8" s="112">
        <v>12</v>
      </c>
      <c r="N8" s="295"/>
    </row>
    <row r="9" spans="1:14" ht="14.4">
      <c r="A9" s="640"/>
      <c r="B9" s="668" t="s">
        <v>244</v>
      </c>
      <c r="C9" s="641"/>
      <c r="D9" s="640"/>
      <c r="E9" s="640"/>
      <c r="F9" s="640"/>
      <c r="G9" s="642"/>
      <c r="H9" s="643"/>
      <c r="I9" s="642"/>
      <c r="J9" s="640"/>
      <c r="K9" s="640"/>
      <c r="L9" s="640"/>
    </row>
    <row r="10" spans="1:14" s="647" customFormat="1" ht="17.399999999999999">
      <c r="A10" s="644">
        <v>1</v>
      </c>
      <c r="B10" s="669" t="s">
        <v>245</v>
      </c>
      <c r="C10" s="645" t="s">
        <v>105</v>
      </c>
      <c r="D10" s="645"/>
      <c r="E10" s="645">
        <v>1</v>
      </c>
      <c r="F10" s="646"/>
      <c r="G10" s="646"/>
      <c r="H10" s="646"/>
      <c r="I10" s="646"/>
      <c r="J10" s="646"/>
      <c r="K10" s="646"/>
      <c r="L10" s="646"/>
    </row>
    <row r="11" spans="1:14" s="654" customFormat="1" ht="17.399999999999999">
      <c r="A11" s="648"/>
      <c r="B11" s="650" t="s">
        <v>42</v>
      </c>
      <c r="C11" s="651" t="s">
        <v>105</v>
      </c>
      <c r="D11" s="652">
        <v>1</v>
      </c>
      <c r="E11" s="652">
        <f>E10*D11</f>
        <v>1</v>
      </c>
      <c r="F11" s="653"/>
      <c r="G11" s="653"/>
      <c r="H11" s="653"/>
      <c r="I11" s="653">
        <f>H11*E11</f>
        <v>0</v>
      </c>
      <c r="J11" s="653"/>
      <c r="K11" s="653"/>
      <c r="L11" s="653">
        <f>I11</f>
        <v>0</v>
      </c>
    </row>
    <row r="12" spans="1:14" s="654" customFormat="1" ht="16.2">
      <c r="A12" s="655"/>
      <c r="B12" s="656" t="s">
        <v>49</v>
      </c>
      <c r="C12" s="657" t="s">
        <v>2</v>
      </c>
      <c r="D12" s="649">
        <v>4.8600000000000003</v>
      </c>
      <c r="E12" s="649">
        <f>D12*E10</f>
        <v>4.8600000000000003</v>
      </c>
      <c r="F12" s="658"/>
      <c r="G12" s="658"/>
      <c r="H12" s="658"/>
      <c r="I12" s="658"/>
      <c r="J12" s="658"/>
      <c r="K12" s="658">
        <f>J12*E12</f>
        <v>0</v>
      </c>
      <c r="L12" s="659">
        <f t="shared" ref="L12:L17" si="0">K12+I12+G12</f>
        <v>0</v>
      </c>
    </row>
    <row r="13" spans="1:14" s="654" customFormat="1" ht="28.8">
      <c r="A13" s="648"/>
      <c r="B13" s="660" t="s">
        <v>246</v>
      </c>
      <c r="C13" s="651" t="s">
        <v>105</v>
      </c>
      <c r="D13" s="652">
        <v>1</v>
      </c>
      <c r="E13" s="652">
        <f>D13*E10</f>
        <v>1</v>
      </c>
      <c r="F13" s="1057"/>
      <c r="G13" s="658">
        <f>F13*E13</f>
        <v>0</v>
      </c>
      <c r="H13" s="658"/>
      <c r="I13" s="658"/>
      <c r="J13" s="658"/>
      <c r="K13" s="658"/>
      <c r="L13" s="615">
        <f t="shared" si="0"/>
        <v>0</v>
      </c>
    </row>
    <row r="14" spans="1:14" s="654" customFormat="1" ht="25.5" customHeight="1">
      <c r="A14" s="661"/>
      <c r="B14" s="662" t="s">
        <v>247</v>
      </c>
      <c r="C14" s="663" t="s">
        <v>66</v>
      </c>
      <c r="D14" s="663"/>
      <c r="E14" s="663">
        <v>4</v>
      </c>
      <c r="F14" s="1002"/>
      <c r="G14" s="658">
        <f>F14*E14</f>
        <v>0</v>
      </c>
      <c r="H14" s="658"/>
      <c r="I14" s="658"/>
      <c r="J14" s="658"/>
      <c r="K14" s="658"/>
      <c r="L14" s="615">
        <f t="shared" si="0"/>
        <v>0</v>
      </c>
    </row>
    <row r="15" spans="1:14" s="654" customFormat="1" ht="25.5" customHeight="1">
      <c r="A15" s="661"/>
      <c r="B15" s="662" t="s">
        <v>248</v>
      </c>
      <c r="C15" s="663" t="s">
        <v>66</v>
      </c>
      <c r="D15" s="663"/>
      <c r="E15" s="663">
        <v>4</v>
      </c>
      <c r="F15" s="1002"/>
      <c r="G15" s="658">
        <f>F15*E15</f>
        <v>0</v>
      </c>
      <c r="H15" s="658"/>
      <c r="I15" s="658"/>
      <c r="J15" s="658"/>
      <c r="K15" s="658"/>
      <c r="L15" s="615">
        <f t="shared" si="0"/>
        <v>0</v>
      </c>
    </row>
    <row r="16" spans="1:14" s="654" customFormat="1" ht="28.8">
      <c r="A16" s="664"/>
      <c r="B16" s="665" t="s">
        <v>243</v>
      </c>
      <c r="C16" s="666" t="s">
        <v>105</v>
      </c>
      <c r="D16" s="666">
        <v>1</v>
      </c>
      <c r="E16" s="666">
        <f>D16*E10</f>
        <v>1</v>
      </c>
      <c r="F16" s="1002"/>
      <c r="G16" s="667">
        <f>F16*E16</f>
        <v>0</v>
      </c>
      <c r="H16" s="667"/>
      <c r="I16" s="667"/>
      <c r="J16" s="667"/>
      <c r="K16" s="667"/>
      <c r="L16" s="659">
        <f t="shared" si="0"/>
        <v>0</v>
      </c>
    </row>
    <row r="17" spans="1:12" s="654" customFormat="1" ht="16.2">
      <c r="A17" s="655"/>
      <c r="B17" s="656" t="s">
        <v>51</v>
      </c>
      <c r="C17" s="657" t="s">
        <v>2</v>
      </c>
      <c r="D17" s="649">
        <v>4.0599999999999996</v>
      </c>
      <c r="E17" s="649">
        <f>D17*E10</f>
        <v>4.0599999999999996</v>
      </c>
      <c r="F17" s="658"/>
      <c r="G17" s="658">
        <f>F17*E17</f>
        <v>0</v>
      </c>
      <c r="H17" s="658"/>
      <c r="I17" s="658"/>
      <c r="J17" s="658"/>
      <c r="K17" s="658"/>
      <c r="L17" s="659">
        <f t="shared" si="0"/>
        <v>0</v>
      </c>
    </row>
    <row r="18" spans="1:12" ht="43.8">
      <c r="A18" s="492">
        <v>2</v>
      </c>
      <c r="B18" s="322" t="s">
        <v>249</v>
      </c>
      <c r="C18" s="645" t="s">
        <v>105</v>
      </c>
      <c r="D18" s="616"/>
      <c r="E18" s="636">
        <v>1</v>
      </c>
      <c r="F18" s="632"/>
      <c r="G18" s="633"/>
      <c r="H18" s="634"/>
      <c r="I18" s="635"/>
      <c r="J18" s="635"/>
      <c r="K18" s="635"/>
      <c r="L18" s="633"/>
    </row>
    <row r="19" spans="1:12" s="654" customFormat="1" ht="17.399999999999999">
      <c r="A19" s="648"/>
      <c r="B19" s="650" t="s">
        <v>42</v>
      </c>
      <c r="C19" s="651" t="s">
        <v>43</v>
      </c>
      <c r="D19" s="652">
        <v>6.09</v>
      </c>
      <c r="E19" s="652">
        <f>E18*D19</f>
        <v>6.09</v>
      </c>
      <c r="F19" s="653"/>
      <c r="G19" s="653"/>
      <c r="H19" s="653"/>
      <c r="I19" s="653">
        <f>H19*E19</f>
        <v>0</v>
      </c>
      <c r="J19" s="653"/>
      <c r="K19" s="653"/>
      <c r="L19" s="653">
        <f>I19</f>
        <v>0</v>
      </c>
    </row>
    <row r="20" spans="1:12" s="654" customFormat="1" ht="16.2">
      <c r="A20" s="655"/>
      <c r="B20" s="656" t="s">
        <v>49</v>
      </c>
      <c r="C20" s="657" t="s">
        <v>2</v>
      </c>
      <c r="D20" s="649">
        <v>0.21</v>
      </c>
      <c r="E20" s="649">
        <f>D20*E18</f>
        <v>0.21</v>
      </c>
      <c r="F20" s="658"/>
      <c r="G20" s="658"/>
      <c r="H20" s="658"/>
      <c r="I20" s="658"/>
      <c r="J20" s="658"/>
      <c r="K20" s="658">
        <f>J20*E20</f>
        <v>0</v>
      </c>
      <c r="L20" s="659">
        <f>K20+I20+G20</f>
        <v>0</v>
      </c>
    </row>
    <row r="21" spans="1:12" ht="30.6">
      <c r="A21" s="612"/>
      <c r="B21" s="232" t="s">
        <v>250</v>
      </c>
      <c r="C21" s="663" t="s">
        <v>105</v>
      </c>
      <c r="D21" s="622"/>
      <c r="E21" s="1000">
        <v>1</v>
      </c>
      <c r="F21" s="885"/>
      <c r="G21" s="658">
        <f>F21*E21</f>
        <v>0</v>
      </c>
      <c r="H21" s="658"/>
      <c r="I21" s="658"/>
      <c r="J21" s="658"/>
      <c r="K21" s="658"/>
      <c r="L21" s="659">
        <f>K21+I21+G21</f>
        <v>0</v>
      </c>
    </row>
    <row r="22" spans="1:12" s="654" customFormat="1" ht="16.2">
      <c r="A22" s="655"/>
      <c r="B22" s="656" t="s">
        <v>51</v>
      </c>
      <c r="C22" s="657" t="s">
        <v>2</v>
      </c>
      <c r="D22" s="649">
        <v>0.31</v>
      </c>
      <c r="E22" s="649">
        <f>D22*E18</f>
        <v>0.31</v>
      </c>
      <c r="F22" s="658"/>
      <c r="G22" s="658">
        <f>F22*E22</f>
        <v>0</v>
      </c>
      <c r="H22" s="658"/>
      <c r="I22" s="658"/>
      <c r="J22" s="658"/>
      <c r="K22" s="658"/>
      <c r="L22" s="659">
        <f>K22+I22+G22</f>
        <v>0</v>
      </c>
    </row>
    <row r="23" spans="1:12" ht="30">
      <c r="A23" s="612">
        <v>3</v>
      </c>
      <c r="B23" s="322" t="s">
        <v>251</v>
      </c>
      <c r="C23" s="645" t="s">
        <v>105</v>
      </c>
      <c r="D23" s="616"/>
      <c r="E23" s="636">
        <v>1</v>
      </c>
      <c r="F23" s="632"/>
      <c r="G23" s="633"/>
      <c r="H23" s="634"/>
      <c r="I23" s="635"/>
      <c r="J23" s="635"/>
      <c r="K23" s="635"/>
      <c r="L23" s="633"/>
    </row>
    <row r="24" spans="1:12" s="654" customFormat="1" ht="17.399999999999999">
      <c r="A24" s="648"/>
      <c r="B24" s="650" t="s">
        <v>42</v>
      </c>
      <c r="C24" s="651" t="s">
        <v>43</v>
      </c>
      <c r="D24" s="652">
        <v>3.8</v>
      </c>
      <c r="E24" s="652">
        <f>E23*D24</f>
        <v>3.8</v>
      </c>
      <c r="F24" s="653"/>
      <c r="G24" s="653"/>
      <c r="H24" s="653"/>
      <c r="I24" s="653">
        <f>H24*E24</f>
        <v>0</v>
      </c>
      <c r="J24" s="653"/>
      <c r="K24" s="653"/>
      <c r="L24" s="653">
        <f>I24</f>
        <v>0</v>
      </c>
    </row>
    <row r="25" spans="1:12" s="654" customFormat="1" ht="16.2">
      <c r="A25" s="655"/>
      <c r="B25" s="656" t="s">
        <v>49</v>
      </c>
      <c r="C25" s="657" t="s">
        <v>2</v>
      </c>
      <c r="D25" s="649">
        <v>0.08</v>
      </c>
      <c r="E25" s="649">
        <f>D25*E23</f>
        <v>0.08</v>
      </c>
      <c r="F25" s="658"/>
      <c r="G25" s="658"/>
      <c r="H25" s="658"/>
      <c r="I25" s="658"/>
      <c r="J25" s="658"/>
      <c r="K25" s="658">
        <f>J25*E25</f>
        <v>0</v>
      </c>
      <c r="L25" s="659">
        <f>K25+I25+G25</f>
        <v>0</v>
      </c>
    </row>
    <row r="26" spans="1:12" s="359" customFormat="1" ht="30">
      <c r="A26" s="519"/>
      <c r="B26" s="232" t="s">
        <v>252</v>
      </c>
      <c r="C26" s="663" t="s">
        <v>105</v>
      </c>
      <c r="D26" s="622"/>
      <c r="E26" s="1000">
        <v>1</v>
      </c>
      <c r="F26" s="1001"/>
      <c r="G26" s="658">
        <f>F26*E26</f>
        <v>0</v>
      </c>
      <c r="H26" s="658"/>
      <c r="I26" s="658"/>
      <c r="J26" s="658"/>
      <c r="K26" s="658"/>
      <c r="L26" s="659">
        <f>K26+I26+G26</f>
        <v>0</v>
      </c>
    </row>
    <row r="27" spans="1:12" s="654" customFormat="1" ht="16.2">
      <c r="A27" s="655"/>
      <c r="B27" s="656" t="s">
        <v>51</v>
      </c>
      <c r="C27" s="657" t="s">
        <v>2</v>
      </c>
      <c r="D27" s="649">
        <v>0.66</v>
      </c>
      <c r="E27" s="649">
        <f>D27*E23</f>
        <v>0.66</v>
      </c>
      <c r="F27" s="658"/>
      <c r="G27" s="658">
        <f>F27*E27</f>
        <v>0</v>
      </c>
      <c r="H27" s="658"/>
      <c r="I27" s="658"/>
      <c r="J27" s="658"/>
      <c r="K27" s="658"/>
      <c r="L27" s="659">
        <f>K27+I27+G27</f>
        <v>0</v>
      </c>
    </row>
    <row r="28" spans="1:12" s="370" customFormat="1" ht="29.4">
      <c r="A28" s="670">
        <v>4</v>
      </c>
      <c r="B28" s="671" t="s">
        <v>259</v>
      </c>
      <c r="C28" s="672" t="s">
        <v>131</v>
      </c>
      <c r="D28" s="673"/>
      <c r="E28" s="674">
        <f>2*3.14*0.075*4</f>
        <v>1.8839999999999999</v>
      </c>
      <c r="F28" s="675"/>
      <c r="G28" s="676"/>
      <c r="H28" s="675"/>
      <c r="I28" s="676"/>
      <c r="J28" s="675"/>
      <c r="K28" s="676"/>
      <c r="L28" s="675"/>
    </row>
    <row r="29" spans="1:12" s="377" customFormat="1">
      <c r="A29" s="631"/>
      <c r="B29" s="619" t="s">
        <v>42</v>
      </c>
      <c r="C29" s="620" t="s">
        <v>43</v>
      </c>
      <c r="D29" s="677">
        <f>1.54</f>
        <v>1.54</v>
      </c>
      <c r="E29" s="615">
        <f>D29*E28</f>
        <v>2.9013599999999999</v>
      </c>
      <c r="F29" s="615"/>
      <c r="G29" s="678"/>
      <c r="H29" s="615"/>
      <c r="I29" s="615">
        <f>H29*E29</f>
        <v>0</v>
      </c>
      <c r="J29" s="615"/>
      <c r="K29" s="678"/>
      <c r="L29" s="615">
        <f t="shared" ref="L29:L33" si="1">K29+I29+G29</f>
        <v>0</v>
      </c>
    </row>
    <row r="30" spans="1:12" s="377" customFormat="1">
      <c r="A30" s="631"/>
      <c r="B30" s="679" t="s">
        <v>49</v>
      </c>
      <c r="C30" s="679" t="s">
        <v>2</v>
      </c>
      <c r="D30" s="677">
        <v>3.73E-2</v>
      </c>
      <c r="E30" s="615">
        <f>D30*E28</f>
        <v>7.0273199999999994E-2</v>
      </c>
      <c r="F30" s="615"/>
      <c r="G30" s="678"/>
      <c r="H30" s="615"/>
      <c r="I30" s="678"/>
      <c r="J30" s="615"/>
      <c r="K30" s="615">
        <f>E30*J30</f>
        <v>0</v>
      </c>
      <c r="L30" s="615">
        <f t="shared" si="1"/>
        <v>0</v>
      </c>
    </row>
    <row r="31" spans="1:12" s="377" customFormat="1" ht="30">
      <c r="A31" s="680"/>
      <c r="B31" s="681" t="s">
        <v>253</v>
      </c>
      <c r="C31" s="682" t="s">
        <v>131</v>
      </c>
      <c r="D31" s="683"/>
      <c r="E31" s="998">
        <f>E28</f>
        <v>1.8839999999999999</v>
      </c>
      <c r="F31" s="493"/>
      <c r="G31" s="615">
        <f t="shared" ref="G31:G33" si="2">F31*E31</f>
        <v>0</v>
      </c>
      <c r="H31" s="684"/>
      <c r="I31" s="685"/>
      <c r="J31" s="684"/>
      <c r="K31" s="685"/>
      <c r="L31" s="615">
        <f t="shared" si="1"/>
        <v>0</v>
      </c>
    </row>
    <row r="32" spans="1:12" s="377" customFormat="1" ht="16.2">
      <c r="A32" s="680"/>
      <c r="B32" s="690" t="s">
        <v>132</v>
      </c>
      <c r="C32" s="682" t="s">
        <v>58</v>
      </c>
      <c r="D32" s="683">
        <v>0.65</v>
      </c>
      <c r="E32" s="999">
        <f>D32*E28</f>
        <v>1.2245999999999999</v>
      </c>
      <c r="F32" s="493"/>
      <c r="G32" s="615">
        <f t="shared" si="2"/>
        <v>0</v>
      </c>
      <c r="H32" s="684"/>
      <c r="I32" s="685"/>
      <c r="J32" s="684"/>
      <c r="K32" s="685"/>
      <c r="L32" s="615">
        <f t="shared" si="1"/>
        <v>0</v>
      </c>
    </row>
    <row r="33" spans="1:25" s="377" customFormat="1">
      <c r="A33" s="691"/>
      <c r="B33" s="679" t="s">
        <v>51</v>
      </c>
      <c r="C33" s="679" t="s">
        <v>2</v>
      </c>
      <c r="D33" s="692">
        <v>0.16900000000000001</v>
      </c>
      <c r="E33" s="693">
        <f>E28*D33</f>
        <v>0.31839600000000001</v>
      </c>
      <c r="F33" s="689"/>
      <c r="G33" s="689">
        <f t="shared" si="2"/>
        <v>0</v>
      </c>
      <c r="H33" s="686"/>
      <c r="I33" s="686"/>
      <c r="J33" s="687"/>
      <c r="K33" s="688"/>
      <c r="L33" s="689">
        <f t="shared" si="1"/>
        <v>0</v>
      </c>
    </row>
    <row r="34" spans="1:25" s="699" customFormat="1">
      <c r="A34" s="670">
        <v>5</v>
      </c>
      <c r="B34" s="694" t="s">
        <v>261</v>
      </c>
      <c r="C34" s="695" t="s">
        <v>62</v>
      </c>
      <c r="D34" s="696"/>
      <c r="E34" s="697">
        <v>1</v>
      </c>
      <c r="F34" s="674"/>
      <c r="G34" s="698"/>
      <c r="H34" s="670"/>
      <c r="I34" s="670"/>
      <c r="J34" s="670"/>
      <c r="K34" s="674"/>
      <c r="L34" s="674"/>
    </row>
    <row r="35" spans="1:25" s="51" customFormat="1" ht="20.100000000000001" customHeight="1">
      <c r="A35" s="631"/>
      <c r="B35" s="700" t="s">
        <v>42</v>
      </c>
      <c r="C35" s="620" t="s">
        <v>43</v>
      </c>
      <c r="D35" s="677">
        <v>1.34</v>
      </c>
      <c r="E35" s="615">
        <f>D35*E34</f>
        <v>1.34</v>
      </c>
      <c r="F35" s="615"/>
      <c r="G35" s="678"/>
      <c r="H35" s="615"/>
      <c r="I35" s="615">
        <f>H35*E35</f>
        <v>0</v>
      </c>
      <c r="J35" s="615"/>
      <c r="K35" s="678"/>
      <c r="L35" s="615">
        <f t="shared" ref="L35:L36" si="3">K35+I35+G35</f>
        <v>0</v>
      </c>
    </row>
    <row r="36" spans="1:25" s="51" customFormat="1" ht="20.100000000000001" customHeight="1">
      <c r="A36" s="631"/>
      <c r="B36" s="701" t="s">
        <v>49</v>
      </c>
      <c r="C36" s="677" t="s">
        <v>2</v>
      </c>
      <c r="D36" s="677">
        <v>0.05</v>
      </c>
      <c r="E36" s="615">
        <f>D36*E34</f>
        <v>0.05</v>
      </c>
      <c r="F36" s="615"/>
      <c r="G36" s="678"/>
      <c r="H36" s="615"/>
      <c r="I36" s="678"/>
      <c r="J36" s="615"/>
      <c r="K36" s="615">
        <f>E36*J36</f>
        <v>0</v>
      </c>
      <c r="L36" s="615">
        <f t="shared" si="3"/>
        <v>0</v>
      </c>
    </row>
    <row r="37" spans="1:25" s="51" customFormat="1" ht="28.2" customHeight="1">
      <c r="A37" s="245"/>
      <c r="B37" s="702" t="s">
        <v>260</v>
      </c>
      <c r="C37" s="703" t="s">
        <v>102</v>
      </c>
      <c r="D37" s="677"/>
      <c r="E37" s="997">
        <v>1</v>
      </c>
      <c r="F37" s="615"/>
      <c r="G37" s="689">
        <f>F37*E37</f>
        <v>0</v>
      </c>
      <c r="H37" s="686"/>
      <c r="I37" s="686"/>
      <c r="J37" s="687"/>
      <c r="K37" s="688"/>
      <c r="L37" s="689">
        <f>K37+I37+G37</f>
        <v>0</v>
      </c>
    </row>
    <row r="38" spans="1:25" s="294" customFormat="1" ht="20.100000000000001" customHeight="1">
      <c r="A38" s="691"/>
      <c r="B38" s="701" t="s">
        <v>51</v>
      </c>
      <c r="C38" s="677" t="s">
        <v>2</v>
      </c>
      <c r="D38" s="692">
        <v>0.16</v>
      </c>
      <c r="E38" s="693">
        <f>D38*E34</f>
        <v>0.16</v>
      </c>
      <c r="F38" s="689"/>
      <c r="G38" s="689">
        <f>F38*E38</f>
        <v>0</v>
      </c>
      <c r="H38" s="686"/>
      <c r="I38" s="686"/>
      <c r="J38" s="687"/>
      <c r="K38" s="688"/>
      <c r="L38" s="689">
        <f>K38+I38+G38</f>
        <v>0</v>
      </c>
    </row>
    <row r="39" spans="1:25" s="294" customFormat="1" ht="27.6" customHeight="1">
      <c r="A39" s="704">
        <v>6</v>
      </c>
      <c r="B39" s="705" t="s">
        <v>254</v>
      </c>
      <c r="C39" s="695" t="s">
        <v>62</v>
      </c>
      <c r="D39" s="706"/>
      <c r="E39" s="707">
        <v>1</v>
      </c>
      <c r="F39" s="675"/>
      <c r="G39" s="676"/>
      <c r="H39" s="708"/>
      <c r="I39" s="708"/>
      <c r="J39" s="709"/>
      <c r="K39" s="710"/>
      <c r="L39" s="675"/>
    </row>
    <row r="40" spans="1:25" s="51" customFormat="1" ht="20.100000000000001" customHeight="1">
      <c r="A40" s="631"/>
      <c r="B40" s="700" t="s">
        <v>42</v>
      </c>
      <c r="C40" s="620" t="s">
        <v>43</v>
      </c>
      <c r="D40" s="677">
        <v>1.69</v>
      </c>
      <c r="E40" s="615">
        <f>D40*E39</f>
        <v>1.69</v>
      </c>
      <c r="F40" s="615"/>
      <c r="G40" s="678"/>
      <c r="H40" s="615"/>
      <c r="I40" s="615">
        <f>H40*E40</f>
        <v>0</v>
      </c>
      <c r="J40" s="615"/>
      <c r="K40" s="678"/>
      <c r="L40" s="615">
        <f>K40+I40+G40</f>
        <v>0</v>
      </c>
    </row>
    <row r="41" spans="1:25" s="51" customFormat="1" ht="20.100000000000001" customHeight="1">
      <c r="A41" s="631"/>
      <c r="B41" s="701" t="s">
        <v>49</v>
      </c>
      <c r="C41" s="677" t="s">
        <v>2</v>
      </c>
      <c r="D41" s="677">
        <v>0.05</v>
      </c>
      <c r="E41" s="615">
        <f>D41*E39</f>
        <v>0.05</v>
      </c>
      <c r="F41" s="615"/>
      <c r="G41" s="678"/>
      <c r="H41" s="615"/>
      <c r="I41" s="678"/>
      <c r="J41" s="615"/>
      <c r="K41" s="615">
        <f>E41*J41</f>
        <v>0</v>
      </c>
      <c r="L41" s="615">
        <f>K41+I41+G41</f>
        <v>0</v>
      </c>
    </row>
    <row r="42" spans="1:25" s="294" customFormat="1" ht="25.2" customHeight="1">
      <c r="A42" s="246"/>
      <c r="B42" s="711" t="s">
        <v>256</v>
      </c>
      <c r="C42" s="677" t="s">
        <v>62</v>
      </c>
      <c r="D42" s="692">
        <v>1</v>
      </c>
      <c r="E42" s="693">
        <f>D42*E39</f>
        <v>1</v>
      </c>
      <c r="F42" s="689"/>
      <c r="G42" s="689">
        <f>F42*E42</f>
        <v>0</v>
      </c>
      <c r="H42" s="686"/>
      <c r="I42" s="686"/>
      <c r="J42" s="687"/>
      <c r="K42" s="688"/>
      <c r="L42" s="689">
        <f>K42+I42+G42</f>
        <v>0</v>
      </c>
    </row>
    <row r="43" spans="1:25" s="294" customFormat="1" ht="20.100000000000001" customHeight="1">
      <c r="A43" s="691"/>
      <c r="B43" s="701" t="s">
        <v>51</v>
      </c>
      <c r="C43" s="677" t="s">
        <v>2</v>
      </c>
      <c r="D43" s="692">
        <v>0.18</v>
      </c>
      <c r="E43" s="693">
        <f>D43*E39</f>
        <v>0.18</v>
      </c>
      <c r="F43" s="689"/>
      <c r="G43" s="689">
        <f>F43*E43</f>
        <v>0</v>
      </c>
      <c r="H43" s="686"/>
      <c r="I43" s="686"/>
      <c r="J43" s="687"/>
      <c r="K43" s="688"/>
      <c r="L43" s="689">
        <f>K43+I43+G43</f>
        <v>0</v>
      </c>
    </row>
    <row r="44" spans="1:25" ht="30" customHeight="1">
      <c r="A44" s="327">
        <v>7</v>
      </c>
      <c r="B44" s="328" t="s">
        <v>255</v>
      </c>
      <c r="C44" s="329" t="s">
        <v>66</v>
      </c>
      <c r="D44" s="330"/>
      <c r="E44" s="331">
        <v>6</v>
      </c>
      <c r="F44" s="331"/>
      <c r="G44" s="332"/>
      <c r="H44" s="333"/>
      <c r="I44" s="332"/>
      <c r="J44" s="331"/>
      <c r="K44" s="332"/>
      <c r="L44" s="33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359" customFormat="1" ht="16.2">
      <c r="A45" s="196"/>
      <c r="B45" s="147" t="s">
        <v>42</v>
      </c>
      <c r="C45" s="148" t="s">
        <v>43</v>
      </c>
      <c r="D45" s="226">
        <v>1.17</v>
      </c>
      <c r="E45" s="197">
        <f>D45*E44</f>
        <v>7.02</v>
      </c>
      <c r="F45" s="197"/>
      <c r="G45" s="198"/>
      <c r="H45" s="254"/>
      <c r="I45" s="197">
        <f>H45*E45</f>
        <v>0</v>
      </c>
      <c r="J45" s="197"/>
      <c r="K45" s="198"/>
      <c r="L45" s="197">
        <f>K45+I45+G45</f>
        <v>0</v>
      </c>
    </row>
    <row r="46" spans="1:25" s="359" customFormat="1">
      <c r="A46" s="517"/>
      <c r="B46" s="232" t="s">
        <v>49</v>
      </c>
      <c r="C46" s="146" t="s">
        <v>2</v>
      </c>
      <c r="D46" s="233">
        <v>1.72E-2</v>
      </c>
      <c r="E46" s="234">
        <f>D46*E44</f>
        <v>0.1032</v>
      </c>
      <c r="F46" s="517"/>
      <c r="G46" s="517"/>
      <c r="H46" s="518"/>
      <c r="I46" s="517"/>
      <c r="J46" s="517"/>
      <c r="K46" s="70">
        <f>J46*E46</f>
        <v>0</v>
      </c>
      <c r="L46" s="70">
        <f>K46+I46+G46</f>
        <v>0</v>
      </c>
    </row>
    <row r="47" spans="1:25" s="359" customFormat="1">
      <c r="A47" s="233"/>
      <c r="B47" s="229" t="s">
        <v>257</v>
      </c>
      <c r="C47" s="146" t="s">
        <v>66</v>
      </c>
      <c r="D47" s="203">
        <v>1</v>
      </c>
      <c r="E47" s="234">
        <f>D47*E44</f>
        <v>6</v>
      </c>
      <c r="F47" s="234"/>
      <c r="G47" s="231">
        <f>F47*E47</f>
        <v>0</v>
      </c>
      <c r="H47" s="265"/>
      <c r="I47" s="233"/>
      <c r="J47" s="233"/>
      <c r="K47" s="233"/>
      <c r="L47" s="70">
        <f>K47+I47+G47</f>
        <v>0</v>
      </c>
    </row>
    <row r="48" spans="1:25" s="359" customFormat="1" ht="16.2">
      <c r="A48" s="195"/>
      <c r="B48" s="94" t="s">
        <v>145</v>
      </c>
      <c r="C48" s="148" t="s">
        <v>62</v>
      </c>
      <c r="D48" s="226"/>
      <c r="E48" s="227">
        <v>12</v>
      </c>
      <c r="F48" s="123"/>
      <c r="G48" s="231">
        <f>F48*E48</f>
        <v>0</v>
      </c>
      <c r="H48" s="265"/>
      <c r="I48" s="233"/>
      <c r="J48" s="233"/>
      <c r="K48" s="233"/>
      <c r="L48" s="70">
        <f>K48+I48+G48</f>
        <v>0</v>
      </c>
    </row>
    <row r="49" spans="1:25" ht="16.2">
      <c r="A49" s="195"/>
      <c r="B49" s="147" t="s">
        <v>51</v>
      </c>
      <c r="C49" s="148" t="s">
        <v>2</v>
      </c>
      <c r="D49" s="226">
        <v>3.9300000000000002E-2</v>
      </c>
      <c r="E49" s="227">
        <f>D49*E44</f>
        <v>0.23580000000000001</v>
      </c>
      <c r="F49" s="230"/>
      <c r="G49" s="198">
        <f>F49*E49</f>
        <v>0</v>
      </c>
      <c r="H49" s="254"/>
      <c r="I49" s="198"/>
      <c r="J49" s="197"/>
      <c r="K49" s="198"/>
      <c r="L49" s="198">
        <f>K49+I49+G49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377" customFormat="1">
      <c r="A50" s="625"/>
      <c r="B50" s="626"/>
      <c r="C50" s="620"/>
      <c r="D50" s="627"/>
      <c r="E50" s="628"/>
      <c r="F50" s="628"/>
      <c r="G50" s="621"/>
      <c r="H50" s="628"/>
      <c r="I50" s="624"/>
      <c r="J50" s="628"/>
      <c r="K50" s="618"/>
      <c r="L50" s="623"/>
    </row>
    <row r="51" spans="1:25" s="359" customFormat="1">
      <c r="A51" s="348"/>
      <c r="B51" s="348" t="s">
        <v>123</v>
      </c>
      <c r="C51" s="348"/>
      <c r="D51" s="349"/>
      <c r="E51" s="348"/>
      <c r="F51" s="348"/>
      <c r="G51" s="350">
        <f>SUM(G11:G50)</f>
        <v>0</v>
      </c>
      <c r="H51" s="351"/>
      <c r="I51" s="350">
        <f>SUM(I11:I50)</f>
        <v>0</v>
      </c>
      <c r="J51" s="350"/>
      <c r="K51" s="350">
        <f>SUM(K11:K50)</f>
        <v>0</v>
      </c>
      <c r="L51" s="350">
        <f>SUM(L11:L50)</f>
        <v>0</v>
      </c>
    </row>
    <row r="52" spans="1:25" s="192" customFormat="1" ht="16.5" customHeight="1">
      <c r="A52" s="733"/>
      <c r="B52" s="745" t="s">
        <v>336</v>
      </c>
      <c r="C52" s="958">
        <v>0.05</v>
      </c>
      <c r="D52" s="735"/>
      <c r="E52" s="736"/>
      <c r="F52" s="736"/>
      <c r="G52" s="739"/>
      <c r="H52" s="736"/>
      <c r="I52" s="739"/>
      <c r="J52" s="738"/>
      <c r="K52" s="739"/>
      <c r="L52" s="739">
        <f>G51*C52</f>
        <v>0</v>
      </c>
      <c r="M52" s="150"/>
      <c r="N52" s="124"/>
      <c r="T52" s="277"/>
    </row>
    <row r="53" spans="1:25" s="192" customFormat="1" ht="16.5" customHeight="1">
      <c r="A53" s="733"/>
      <c r="B53" s="126" t="s">
        <v>21</v>
      </c>
      <c r="C53" s="725"/>
      <c r="D53" s="735"/>
      <c r="E53" s="736"/>
      <c r="F53" s="736"/>
      <c r="G53" s="739"/>
      <c r="H53" s="736"/>
      <c r="I53" s="739"/>
      <c r="J53" s="738"/>
      <c r="K53" s="739"/>
      <c r="L53" s="959">
        <f>L51+L52</f>
        <v>0</v>
      </c>
      <c r="M53" s="150"/>
      <c r="N53" s="124"/>
      <c r="T53" s="277"/>
    </row>
    <row r="54" spans="1:25" s="359" customFormat="1">
      <c r="A54" s="491"/>
      <c r="B54" s="954" t="s">
        <v>93</v>
      </c>
      <c r="C54" s="209">
        <v>0.1</v>
      </c>
      <c r="D54" s="954"/>
      <c r="E54" s="209"/>
      <c r="F54" s="954"/>
      <c r="G54" s="210"/>
      <c r="H54" s="953"/>
      <c r="I54" s="210"/>
      <c r="J54" s="210"/>
      <c r="K54" s="210"/>
      <c r="L54" s="210">
        <f>(L53)*C54</f>
        <v>0</v>
      </c>
    </row>
    <row r="55" spans="1:25" s="359" customFormat="1">
      <c r="A55" s="491"/>
      <c r="B55" s="954" t="s">
        <v>21</v>
      </c>
      <c r="C55" s="491"/>
      <c r="D55" s="954"/>
      <c r="E55" s="491"/>
      <c r="F55" s="491"/>
      <c r="G55" s="211"/>
      <c r="H55" s="255"/>
      <c r="I55" s="211"/>
      <c r="J55" s="211"/>
      <c r="K55" s="211"/>
      <c r="L55" s="211">
        <f>SUM(L53:L54)</f>
        <v>0</v>
      </c>
    </row>
    <row r="56" spans="1:25" s="359" customFormat="1">
      <c r="A56" s="491"/>
      <c r="B56" s="954" t="s">
        <v>96</v>
      </c>
      <c r="C56" s="209">
        <v>0.08</v>
      </c>
      <c r="D56" s="954"/>
      <c r="E56" s="209"/>
      <c r="F56" s="954"/>
      <c r="G56" s="210"/>
      <c r="H56" s="953"/>
      <c r="I56" s="210"/>
      <c r="J56" s="210"/>
      <c r="K56" s="210"/>
      <c r="L56" s="210">
        <f>L55*C56</f>
        <v>0</v>
      </c>
    </row>
    <row r="57" spans="1:25" s="359" customFormat="1">
      <c r="A57" s="491"/>
      <c r="B57" s="954" t="s">
        <v>21</v>
      </c>
      <c r="C57" s="491"/>
      <c r="D57" s="954"/>
      <c r="E57" s="491"/>
      <c r="F57" s="491"/>
      <c r="G57" s="211"/>
      <c r="H57" s="255"/>
      <c r="I57" s="211"/>
      <c r="J57" s="211"/>
      <c r="K57" s="211"/>
      <c r="L57" s="211">
        <f>SUM(L55:L56)</f>
        <v>0</v>
      </c>
    </row>
    <row r="58" spans="1:25" s="359" customFormat="1">
      <c r="A58" s="46"/>
      <c r="B58" s="260"/>
      <c r="C58" s="48"/>
      <c r="D58" s="260"/>
      <c r="E58" s="260"/>
      <c r="F58" s="260"/>
      <c r="G58" s="260"/>
      <c r="H58" s="271"/>
      <c r="I58" s="260"/>
      <c r="J58" s="224"/>
      <c r="K58" s="260"/>
      <c r="L58" s="260"/>
    </row>
    <row r="59" spans="1:25" s="359" customFormat="1">
      <c r="A59" s="46"/>
      <c r="B59" s="260"/>
      <c r="C59" s="48"/>
      <c r="D59" s="260"/>
      <c r="E59" s="260"/>
      <c r="F59" s="260"/>
      <c r="G59" s="260"/>
      <c r="H59" s="271"/>
      <c r="I59" s="260"/>
      <c r="J59" s="224"/>
      <c r="K59" s="260"/>
      <c r="L59" s="260"/>
    </row>
    <row r="60" spans="1:25" s="359" customFormat="1">
      <c r="A60" s="46"/>
      <c r="B60" s="260"/>
      <c r="C60" s="48"/>
      <c r="D60" s="260"/>
      <c r="E60" s="260"/>
      <c r="F60" s="260"/>
      <c r="G60" s="260"/>
      <c r="H60" s="271"/>
      <c r="I60" s="260"/>
      <c r="J60" s="224"/>
      <c r="K60" s="260"/>
      <c r="L60" s="260"/>
    </row>
    <row r="61" spans="1:25" s="359" customFormat="1">
      <c r="A61" s="46"/>
      <c r="B61" s="260"/>
      <c r="C61" s="48"/>
      <c r="D61" s="260"/>
      <c r="E61" s="260"/>
      <c r="F61" s="260"/>
      <c r="G61" s="260"/>
      <c r="H61" s="271"/>
      <c r="I61" s="260"/>
      <c r="J61" s="224"/>
      <c r="K61" s="260"/>
      <c r="L61" s="260"/>
    </row>
    <row r="62" spans="1:25" s="359" customFormat="1">
      <c r="A62" s="46"/>
      <c r="B62" s="260"/>
      <c r="C62" s="48"/>
      <c r="D62" s="260"/>
      <c r="E62" s="260"/>
      <c r="F62" s="260"/>
      <c r="G62" s="260"/>
      <c r="H62" s="271"/>
      <c r="I62" s="260"/>
      <c r="J62" s="224"/>
      <c r="K62" s="260"/>
      <c r="L62" s="260"/>
    </row>
    <row r="63" spans="1:25" s="359" customFormat="1">
      <c r="A63" s="46"/>
      <c r="B63" s="260"/>
      <c r="C63" s="48"/>
      <c r="D63" s="260"/>
      <c r="E63" s="260"/>
      <c r="F63" s="260"/>
      <c r="G63" s="260"/>
      <c r="H63" s="271"/>
      <c r="I63" s="260"/>
      <c r="J63" s="224"/>
      <c r="K63" s="260"/>
      <c r="L63" s="260"/>
    </row>
    <row r="64" spans="1:25" s="359" customFormat="1">
      <c r="A64" s="46"/>
      <c r="B64" s="260"/>
      <c r="C64" s="48"/>
      <c r="D64" s="260"/>
      <c r="E64" s="260"/>
      <c r="F64" s="260"/>
      <c r="G64" s="260"/>
      <c r="H64" s="271"/>
      <c r="I64" s="260"/>
      <c r="J64" s="224"/>
      <c r="K64" s="260"/>
      <c r="L64" s="260"/>
    </row>
    <row r="65" spans="1:12" s="359" customFormat="1">
      <c r="A65" s="46"/>
      <c r="B65" s="260"/>
      <c r="C65" s="48"/>
      <c r="D65" s="260"/>
      <c r="E65" s="260"/>
      <c r="F65" s="260"/>
      <c r="G65" s="260"/>
      <c r="H65" s="271"/>
      <c r="I65" s="260"/>
      <c r="J65" s="224"/>
      <c r="K65" s="260"/>
      <c r="L65" s="260"/>
    </row>
    <row r="66" spans="1:12" s="359" customFormat="1">
      <c r="A66" s="46"/>
      <c r="B66" s="260"/>
      <c r="C66" s="48"/>
      <c r="D66" s="260"/>
      <c r="E66" s="260"/>
      <c r="F66" s="260"/>
      <c r="G66" s="260"/>
      <c r="H66" s="271"/>
      <c r="I66" s="260"/>
      <c r="J66" s="224"/>
      <c r="K66" s="260"/>
      <c r="L66" s="260"/>
    </row>
    <row r="67" spans="1:12" s="359" customFormat="1">
      <c r="A67" s="46"/>
      <c r="B67" s="260"/>
      <c r="C67" s="48"/>
      <c r="D67" s="260"/>
      <c r="E67" s="260"/>
      <c r="F67" s="260"/>
      <c r="G67" s="260"/>
      <c r="H67" s="271"/>
      <c r="I67" s="260"/>
      <c r="J67" s="224"/>
      <c r="K67" s="260"/>
      <c r="L67" s="260"/>
    </row>
    <row r="68" spans="1:12" s="359" customFormat="1">
      <c r="A68" s="46"/>
      <c r="B68" s="260"/>
      <c r="C68" s="48"/>
      <c r="D68" s="260"/>
      <c r="E68" s="260"/>
      <c r="F68" s="260"/>
      <c r="G68" s="260"/>
      <c r="H68" s="271"/>
      <c r="I68" s="260"/>
      <c r="J68" s="224"/>
      <c r="K68" s="260"/>
      <c r="L68" s="260"/>
    </row>
    <row r="69" spans="1:12" s="359" customFormat="1">
      <c r="A69" s="46"/>
      <c r="B69" s="260"/>
      <c r="C69" s="48"/>
      <c r="D69" s="260"/>
      <c r="E69" s="260"/>
      <c r="F69" s="260"/>
      <c r="G69" s="260"/>
      <c r="H69" s="271"/>
      <c r="I69" s="260"/>
      <c r="J69" s="224"/>
      <c r="K69" s="260"/>
      <c r="L69" s="260"/>
    </row>
    <row r="70" spans="1:12" s="359" customFormat="1">
      <c r="A70" s="46"/>
      <c r="B70" s="260"/>
      <c r="C70" s="48"/>
      <c r="D70" s="260"/>
      <c r="E70" s="260"/>
      <c r="F70" s="260"/>
      <c r="G70" s="260"/>
      <c r="H70" s="271"/>
      <c r="I70" s="260"/>
      <c r="J70" s="224"/>
      <c r="K70" s="260"/>
      <c r="L70" s="260"/>
    </row>
    <row r="71" spans="1:12" s="359" customFormat="1">
      <c r="A71" s="46"/>
      <c r="B71" s="260"/>
      <c r="C71" s="48"/>
      <c r="D71" s="260"/>
      <c r="E71" s="260"/>
      <c r="F71" s="260"/>
      <c r="G71" s="260"/>
      <c r="H71" s="271"/>
      <c r="I71" s="260"/>
      <c r="J71" s="224"/>
      <c r="K71" s="260"/>
      <c r="L71" s="260"/>
    </row>
    <row r="72" spans="1:12" s="359" customFormat="1" ht="32.4" customHeight="1">
      <c r="A72" s="46"/>
      <c r="B72" s="260"/>
      <c r="C72" s="48"/>
      <c r="D72" s="260"/>
      <c r="E72" s="260"/>
      <c r="F72" s="260"/>
      <c r="G72" s="260"/>
      <c r="H72" s="271"/>
      <c r="I72" s="260"/>
      <c r="J72" s="224"/>
      <c r="K72" s="260"/>
      <c r="L72" s="260"/>
    </row>
    <row r="73" spans="1:12" s="359" customFormat="1">
      <c r="A73" s="46"/>
      <c r="B73" s="260"/>
      <c r="C73" s="48"/>
      <c r="D73" s="260"/>
      <c r="E73" s="260"/>
      <c r="F73" s="260"/>
      <c r="G73" s="260"/>
      <c r="H73" s="271"/>
      <c r="I73" s="260"/>
      <c r="J73" s="224"/>
      <c r="K73" s="260"/>
      <c r="L73" s="260"/>
    </row>
    <row r="74" spans="1:12" s="359" customFormat="1">
      <c r="A74" s="46"/>
      <c r="B74" s="260"/>
      <c r="C74" s="48"/>
      <c r="D74" s="260"/>
      <c r="E74" s="260"/>
      <c r="F74" s="260"/>
      <c r="G74" s="260"/>
      <c r="H74" s="271"/>
      <c r="I74" s="260"/>
      <c r="J74" s="224"/>
      <c r="K74" s="260"/>
      <c r="L74" s="260"/>
    </row>
    <row r="75" spans="1:12" s="359" customFormat="1">
      <c r="A75" s="46"/>
      <c r="B75" s="260"/>
      <c r="C75" s="48"/>
      <c r="D75" s="260"/>
      <c r="E75" s="260"/>
      <c r="F75" s="260"/>
      <c r="G75" s="260"/>
      <c r="H75" s="271"/>
      <c r="I75" s="260"/>
      <c r="J75" s="224"/>
      <c r="K75" s="260"/>
      <c r="L75" s="260"/>
    </row>
    <row r="76" spans="1:12" s="359" customFormat="1">
      <c r="A76" s="46"/>
      <c r="B76" s="260"/>
      <c r="C76" s="48"/>
      <c r="D76" s="260"/>
      <c r="E76" s="260"/>
      <c r="F76" s="260"/>
      <c r="G76" s="260"/>
      <c r="H76" s="271"/>
      <c r="I76" s="260"/>
      <c r="J76" s="224"/>
      <c r="K76" s="260"/>
      <c r="L76" s="260"/>
    </row>
    <row r="77" spans="1:12" s="359" customFormat="1">
      <c r="A77" s="46"/>
      <c r="B77" s="260"/>
      <c r="C77" s="48"/>
      <c r="D77" s="260"/>
      <c r="E77" s="260"/>
      <c r="F77" s="260"/>
      <c r="G77" s="260"/>
      <c r="H77" s="271"/>
      <c r="I77" s="260"/>
      <c r="J77" s="224"/>
      <c r="K77" s="260"/>
      <c r="L77" s="260"/>
    </row>
    <row r="78" spans="1:12" s="359" customFormat="1">
      <c r="A78" s="46"/>
      <c r="B78" s="260"/>
      <c r="C78" s="48"/>
      <c r="D78" s="260"/>
      <c r="E78" s="260"/>
      <c r="F78" s="260"/>
      <c r="G78" s="260"/>
      <c r="H78" s="271"/>
      <c r="I78" s="260"/>
      <c r="J78" s="224"/>
      <c r="K78" s="260"/>
      <c r="L78" s="260"/>
    </row>
    <row r="79" spans="1:12" s="359" customFormat="1">
      <c r="A79" s="46"/>
      <c r="B79" s="260"/>
      <c r="C79" s="48"/>
      <c r="D79" s="260"/>
      <c r="E79" s="260"/>
      <c r="F79" s="260"/>
      <c r="G79" s="260"/>
      <c r="H79" s="271"/>
      <c r="I79" s="260"/>
      <c r="J79" s="224"/>
      <c r="K79" s="260"/>
      <c r="L79" s="260"/>
    </row>
    <row r="80" spans="1:12" s="359" customFormat="1">
      <c r="A80" s="46"/>
      <c r="B80" s="260"/>
      <c r="C80" s="48"/>
      <c r="D80" s="260"/>
      <c r="E80" s="260"/>
      <c r="F80" s="260"/>
      <c r="G80" s="260"/>
      <c r="H80" s="271"/>
      <c r="I80" s="260"/>
      <c r="J80" s="224"/>
      <c r="K80" s="260"/>
      <c r="L80" s="260"/>
    </row>
    <row r="81" spans="1:25" s="359" customFormat="1">
      <c r="A81" s="46"/>
      <c r="B81" s="260"/>
      <c r="C81" s="48"/>
      <c r="D81" s="260"/>
      <c r="E81" s="260"/>
      <c r="F81" s="260"/>
      <c r="G81" s="260"/>
      <c r="H81" s="271"/>
      <c r="I81" s="260"/>
      <c r="J81" s="224"/>
      <c r="K81" s="260"/>
      <c r="L81" s="260"/>
    </row>
    <row r="82" spans="1:25" s="359" customFormat="1">
      <c r="A82" s="46"/>
      <c r="B82" s="260"/>
      <c r="C82" s="48"/>
      <c r="D82" s="260"/>
      <c r="E82" s="260"/>
      <c r="F82" s="260"/>
      <c r="G82" s="260"/>
      <c r="H82" s="271"/>
      <c r="I82" s="260"/>
      <c r="J82" s="224"/>
      <c r="K82" s="260"/>
      <c r="L82" s="260"/>
    </row>
    <row r="83" spans="1:25" s="359" customFormat="1">
      <c r="A83" s="46"/>
      <c r="B83" s="260"/>
      <c r="C83" s="48"/>
      <c r="D83" s="260"/>
      <c r="E83" s="260"/>
      <c r="F83" s="260"/>
      <c r="G83" s="260"/>
      <c r="H83" s="271"/>
      <c r="I83" s="260"/>
      <c r="J83" s="224"/>
      <c r="K83" s="260"/>
      <c r="L83" s="260"/>
    </row>
    <row r="84" spans="1:25" s="359" customFormat="1">
      <c r="A84" s="46"/>
      <c r="B84" s="260"/>
      <c r="C84" s="48"/>
      <c r="D84" s="260"/>
      <c r="E84" s="260"/>
      <c r="F84" s="260"/>
      <c r="G84" s="260"/>
      <c r="H84" s="271"/>
      <c r="I84" s="260"/>
      <c r="J84" s="224"/>
      <c r="K84" s="260"/>
      <c r="L84" s="260"/>
    </row>
    <row r="85" spans="1:25" s="359" customFormat="1">
      <c r="A85" s="46"/>
      <c r="B85" s="260"/>
      <c r="C85" s="48"/>
      <c r="D85" s="260"/>
      <c r="E85" s="260"/>
      <c r="F85" s="260"/>
      <c r="G85" s="260"/>
      <c r="H85" s="271"/>
      <c r="I85" s="260"/>
      <c r="J85" s="224"/>
      <c r="K85" s="260"/>
      <c r="L85" s="260"/>
    </row>
    <row r="86" spans="1:25" s="359" customFormat="1">
      <c r="A86" s="46"/>
      <c r="B86" s="260"/>
      <c r="C86" s="48"/>
      <c r="D86" s="260"/>
      <c r="E86" s="260"/>
      <c r="F86" s="260"/>
      <c r="G86" s="260"/>
      <c r="H86" s="271"/>
      <c r="I86" s="260"/>
      <c r="J86" s="224"/>
      <c r="K86" s="260"/>
      <c r="L86" s="260"/>
    </row>
    <row r="87" spans="1:25" s="359" customFormat="1">
      <c r="A87" s="46"/>
      <c r="B87" s="260"/>
      <c r="C87" s="48"/>
      <c r="D87" s="260"/>
      <c r="E87" s="260"/>
      <c r="F87" s="260"/>
      <c r="G87" s="260"/>
      <c r="H87" s="271"/>
      <c r="I87" s="260"/>
      <c r="J87" s="224"/>
      <c r="K87" s="260"/>
      <c r="L87" s="260"/>
    </row>
    <row r="88" spans="1:25" s="359" customFormat="1">
      <c r="A88" s="46"/>
      <c r="B88" s="260"/>
      <c r="C88" s="48"/>
      <c r="D88" s="260"/>
      <c r="E88" s="260"/>
      <c r="F88" s="260"/>
      <c r="G88" s="260"/>
      <c r="H88" s="271"/>
      <c r="I88" s="260"/>
      <c r="J88" s="224"/>
      <c r="K88" s="260"/>
      <c r="L88" s="260"/>
    </row>
    <row r="89" spans="1:25" s="359" customFormat="1">
      <c r="A89" s="46"/>
      <c r="B89" s="260"/>
      <c r="C89" s="48"/>
      <c r="D89" s="260"/>
      <c r="E89" s="260"/>
      <c r="F89" s="260"/>
      <c r="G89" s="260"/>
      <c r="H89" s="271"/>
      <c r="I89" s="260"/>
      <c r="J89" s="224"/>
      <c r="K89" s="260"/>
      <c r="L89" s="260"/>
    </row>
    <row r="90" spans="1:25" s="359" customFormat="1">
      <c r="A90" s="46"/>
      <c r="B90" s="260"/>
      <c r="C90" s="48"/>
      <c r="D90" s="260"/>
      <c r="E90" s="260"/>
      <c r="F90" s="260"/>
      <c r="G90" s="260"/>
      <c r="H90" s="271"/>
      <c r="I90" s="260"/>
      <c r="J90" s="224"/>
      <c r="K90" s="260"/>
      <c r="L90" s="260"/>
    </row>
    <row r="91" spans="1:25" s="359" customFormat="1">
      <c r="A91" s="46"/>
      <c r="B91" s="260"/>
      <c r="C91" s="48"/>
      <c r="D91" s="260"/>
      <c r="E91" s="260"/>
      <c r="F91" s="260"/>
      <c r="G91" s="260"/>
      <c r="H91" s="271"/>
      <c r="I91" s="260"/>
      <c r="J91" s="224"/>
      <c r="K91" s="260"/>
      <c r="L91" s="260"/>
    </row>
    <row r="92" spans="1:25" s="359" customFormat="1">
      <c r="A92" s="46"/>
      <c r="B92" s="260"/>
      <c r="C92" s="48"/>
      <c r="D92" s="260"/>
      <c r="E92" s="260"/>
      <c r="F92" s="260"/>
      <c r="G92" s="260"/>
      <c r="H92" s="271"/>
      <c r="I92" s="260"/>
      <c r="J92" s="224"/>
      <c r="K92" s="260"/>
      <c r="L92" s="260"/>
    </row>
    <row r="93" spans="1:25" s="359" customFormat="1">
      <c r="A93" s="46"/>
      <c r="B93" s="260"/>
      <c r="C93" s="48"/>
      <c r="D93" s="260"/>
      <c r="E93" s="260"/>
      <c r="F93" s="260"/>
      <c r="G93" s="260"/>
      <c r="H93" s="271"/>
      <c r="I93" s="260"/>
      <c r="J93" s="224"/>
      <c r="K93" s="260"/>
      <c r="L93" s="260"/>
    </row>
    <row r="94" spans="1:25" s="19" customFormat="1">
      <c r="A94" s="41"/>
      <c r="B94" s="60"/>
      <c r="D94" s="60"/>
      <c r="E94" s="60"/>
      <c r="F94" s="60"/>
      <c r="G94" s="60"/>
      <c r="H94" s="272"/>
      <c r="I94" s="60"/>
      <c r="J94" s="225"/>
      <c r="K94" s="60"/>
      <c r="L94" s="60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</row>
    <row r="95" spans="1:25" s="19" customFormat="1">
      <c r="A95" s="41"/>
      <c r="B95" s="60"/>
      <c r="D95" s="60"/>
      <c r="E95" s="60"/>
      <c r="F95" s="60"/>
      <c r="G95" s="60"/>
      <c r="H95" s="272"/>
      <c r="I95" s="60"/>
      <c r="J95" s="225"/>
      <c r="K95" s="60"/>
      <c r="L95" s="60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</row>
    <row r="96" spans="1:25" s="19" customFormat="1">
      <c r="A96" s="41"/>
      <c r="B96" s="60"/>
      <c r="D96" s="60"/>
      <c r="E96" s="60"/>
      <c r="F96" s="60"/>
      <c r="G96" s="60"/>
      <c r="H96" s="272"/>
      <c r="I96" s="60"/>
      <c r="J96" s="225"/>
      <c r="K96" s="60"/>
      <c r="L96" s="60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</row>
    <row r="97" spans="1:25" s="19" customFormat="1">
      <c r="A97" s="41"/>
      <c r="B97" s="60"/>
      <c r="D97" s="60"/>
      <c r="E97" s="60"/>
      <c r="F97" s="60"/>
      <c r="G97" s="60"/>
      <c r="H97" s="272"/>
      <c r="I97" s="60"/>
      <c r="J97" s="225"/>
      <c r="K97" s="60"/>
      <c r="L97" s="60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</row>
    <row r="98" spans="1:25" s="19" customFormat="1">
      <c r="A98" s="41"/>
      <c r="B98" s="60"/>
      <c r="D98" s="60"/>
      <c r="E98" s="60"/>
      <c r="F98" s="60"/>
      <c r="G98" s="60"/>
      <c r="H98" s="272"/>
      <c r="I98" s="60"/>
      <c r="J98" s="225"/>
      <c r="K98" s="60"/>
      <c r="L98" s="60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</row>
    <row r="99" spans="1:25" s="19" customFormat="1">
      <c r="A99" s="41"/>
      <c r="B99" s="60"/>
      <c r="D99" s="60"/>
      <c r="E99" s="60"/>
      <c r="F99" s="60"/>
      <c r="G99" s="60"/>
      <c r="H99" s="272"/>
      <c r="I99" s="60"/>
      <c r="J99" s="225"/>
      <c r="K99" s="60"/>
      <c r="L99" s="60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</row>
    <row r="100" spans="1:25" s="19" customFormat="1">
      <c r="A100" s="41"/>
      <c r="B100" s="60"/>
      <c r="D100" s="60"/>
      <c r="E100" s="60"/>
      <c r="F100" s="60"/>
      <c r="G100" s="60"/>
      <c r="H100" s="272"/>
      <c r="I100" s="60"/>
      <c r="J100" s="225"/>
      <c r="K100" s="60"/>
      <c r="L100" s="60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</row>
    <row r="101" spans="1:25" s="19" customFormat="1">
      <c r="A101" s="41"/>
      <c r="B101" s="60"/>
      <c r="D101" s="60"/>
      <c r="E101" s="60"/>
      <c r="F101" s="60"/>
      <c r="G101" s="60"/>
      <c r="H101" s="272"/>
      <c r="I101" s="60"/>
      <c r="J101" s="225"/>
      <c r="K101" s="60"/>
      <c r="L101" s="60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</row>
    <row r="102" spans="1:25" s="19" customFormat="1">
      <c r="A102" s="41"/>
      <c r="B102" s="60"/>
      <c r="D102" s="60"/>
      <c r="E102" s="60"/>
      <c r="F102" s="60"/>
      <c r="G102" s="60"/>
      <c r="H102" s="272"/>
      <c r="I102" s="60"/>
      <c r="J102" s="225"/>
      <c r="K102" s="60"/>
      <c r="L102" s="60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</row>
    <row r="103" spans="1:25" s="19" customFormat="1">
      <c r="A103" s="41"/>
      <c r="B103" s="60"/>
      <c r="D103" s="60"/>
      <c r="E103" s="60"/>
      <c r="F103" s="60"/>
      <c r="G103" s="60"/>
      <c r="H103" s="272"/>
      <c r="I103" s="60"/>
      <c r="J103" s="225"/>
      <c r="K103" s="60"/>
      <c r="L103" s="60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</row>
    <row r="104" spans="1:25" s="19" customFormat="1">
      <c r="A104" s="41"/>
      <c r="B104" s="60"/>
      <c r="D104" s="60"/>
      <c r="E104" s="60"/>
      <c r="F104" s="60"/>
      <c r="G104" s="60"/>
      <c r="H104" s="272"/>
      <c r="I104" s="60"/>
      <c r="J104" s="225"/>
      <c r="K104" s="60"/>
      <c r="L104" s="60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</row>
    <row r="105" spans="1:25" s="19" customFormat="1">
      <c r="A105" s="41"/>
      <c r="B105" s="60"/>
      <c r="D105" s="60"/>
      <c r="E105" s="60"/>
      <c r="F105" s="60"/>
      <c r="G105" s="60"/>
      <c r="H105" s="272"/>
      <c r="I105" s="60"/>
      <c r="J105" s="225"/>
      <c r="K105" s="60"/>
      <c r="L105" s="60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</row>
    <row r="106" spans="1:25" s="19" customFormat="1">
      <c r="A106" s="41"/>
      <c r="B106" s="60"/>
      <c r="D106" s="60"/>
      <c r="E106" s="60"/>
      <c r="F106" s="60"/>
      <c r="G106" s="60"/>
      <c r="H106" s="272"/>
      <c r="I106" s="60"/>
      <c r="J106" s="225"/>
      <c r="K106" s="60"/>
      <c r="L106" s="60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</row>
    <row r="107" spans="1:25" s="19" customFormat="1">
      <c r="A107" s="41"/>
      <c r="B107" s="60"/>
      <c r="D107" s="60"/>
      <c r="E107" s="60"/>
      <c r="F107" s="60"/>
      <c r="G107" s="60"/>
      <c r="H107" s="272"/>
      <c r="I107" s="60"/>
      <c r="J107" s="225"/>
      <c r="K107" s="60"/>
      <c r="L107" s="60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</row>
    <row r="108" spans="1:25" s="19" customFormat="1">
      <c r="A108" s="41"/>
      <c r="B108" s="60"/>
      <c r="D108" s="60"/>
      <c r="E108" s="60"/>
      <c r="F108" s="60"/>
      <c r="G108" s="60"/>
      <c r="H108" s="272"/>
      <c r="I108" s="60"/>
      <c r="J108" s="225"/>
      <c r="K108" s="60"/>
      <c r="L108" s="60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</row>
    <row r="109" spans="1:25" s="19" customFormat="1">
      <c r="A109" s="41"/>
      <c r="B109" s="60"/>
      <c r="D109" s="60"/>
      <c r="E109" s="60"/>
      <c r="F109" s="60"/>
      <c r="G109" s="60"/>
      <c r="H109" s="272"/>
      <c r="I109" s="60"/>
      <c r="J109" s="225"/>
      <c r="K109" s="60"/>
      <c r="L109" s="60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</row>
    <row r="110" spans="1:25" s="19" customFormat="1">
      <c r="A110" s="41"/>
      <c r="B110" s="60"/>
      <c r="D110" s="60"/>
      <c r="E110" s="60"/>
      <c r="F110" s="60"/>
      <c r="G110" s="60"/>
      <c r="H110" s="272"/>
      <c r="I110" s="60"/>
      <c r="J110" s="225"/>
      <c r="K110" s="60"/>
      <c r="L110" s="60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</row>
    <row r="111" spans="1:25" s="19" customFormat="1">
      <c r="A111" s="41"/>
      <c r="B111" s="60"/>
      <c r="D111" s="60"/>
      <c r="E111" s="60"/>
      <c r="F111" s="60"/>
      <c r="G111" s="60"/>
      <c r="H111" s="272"/>
      <c r="I111" s="60"/>
      <c r="J111" s="225"/>
      <c r="K111" s="60"/>
      <c r="L111" s="60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</row>
    <row r="112" spans="1:25" s="19" customFormat="1">
      <c r="A112" s="41"/>
      <c r="B112" s="60"/>
      <c r="D112" s="60"/>
      <c r="E112" s="60"/>
      <c r="F112" s="60"/>
      <c r="G112" s="60"/>
      <c r="H112" s="272"/>
      <c r="I112" s="60"/>
      <c r="J112" s="225"/>
      <c r="K112" s="60"/>
      <c r="L112" s="60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</row>
    <row r="113" spans="1:25" s="19" customFormat="1">
      <c r="A113" s="41"/>
      <c r="B113" s="60"/>
      <c r="D113" s="60"/>
      <c r="E113" s="60"/>
      <c r="F113" s="60"/>
      <c r="G113" s="60"/>
      <c r="H113" s="272"/>
      <c r="I113" s="60"/>
      <c r="J113" s="225"/>
      <c r="K113" s="60"/>
      <c r="L113" s="60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</row>
    <row r="114" spans="1:25" s="19" customFormat="1">
      <c r="A114" s="41"/>
      <c r="B114" s="60"/>
      <c r="D114" s="60"/>
      <c r="E114" s="60"/>
      <c r="F114" s="60"/>
      <c r="G114" s="60"/>
      <c r="H114" s="272"/>
      <c r="I114" s="60"/>
      <c r="J114" s="225"/>
      <c r="K114" s="60"/>
      <c r="L114" s="60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</row>
    <row r="115" spans="1:25" s="19" customFormat="1">
      <c r="A115" s="41"/>
      <c r="B115" s="60"/>
      <c r="D115" s="60"/>
      <c r="E115" s="60"/>
      <c r="F115" s="60"/>
      <c r="G115" s="60"/>
      <c r="H115" s="272"/>
      <c r="I115" s="60"/>
      <c r="J115" s="225"/>
      <c r="K115" s="60"/>
      <c r="L115" s="60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</row>
    <row r="116" spans="1:25" s="19" customFormat="1">
      <c r="A116" s="41"/>
      <c r="B116" s="60"/>
      <c r="D116" s="60"/>
      <c r="E116" s="60"/>
      <c r="F116" s="60"/>
      <c r="G116" s="60"/>
      <c r="H116" s="272"/>
      <c r="I116" s="60"/>
      <c r="J116" s="225"/>
      <c r="K116" s="60"/>
      <c r="L116" s="60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</row>
    <row r="117" spans="1:25" s="19" customFormat="1">
      <c r="A117" s="41"/>
      <c r="B117" s="60"/>
      <c r="D117" s="60"/>
      <c r="E117" s="60"/>
      <c r="F117" s="60"/>
      <c r="G117" s="60"/>
      <c r="H117" s="272"/>
      <c r="I117" s="60"/>
      <c r="J117" s="225"/>
      <c r="K117" s="60"/>
      <c r="L117" s="60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</row>
    <row r="118" spans="1:25" s="19" customFormat="1">
      <c r="A118" s="41"/>
      <c r="B118" s="60"/>
      <c r="D118" s="60"/>
      <c r="E118" s="60"/>
      <c r="F118" s="60"/>
      <c r="G118" s="60"/>
      <c r="H118" s="272"/>
      <c r="I118" s="60"/>
      <c r="J118" s="225"/>
      <c r="K118" s="60"/>
      <c r="L118" s="60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</row>
    <row r="119" spans="1:25" s="19" customFormat="1">
      <c r="A119" s="41"/>
      <c r="B119" s="60"/>
      <c r="D119" s="60"/>
      <c r="E119" s="60"/>
      <c r="F119" s="60"/>
      <c r="G119" s="60"/>
      <c r="H119" s="272"/>
      <c r="I119" s="60"/>
      <c r="J119" s="225"/>
      <c r="K119" s="60"/>
      <c r="L119" s="60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</row>
    <row r="120" spans="1:25" s="19" customFormat="1">
      <c r="A120" s="41"/>
      <c r="B120" s="60"/>
      <c r="D120" s="60"/>
      <c r="E120" s="60"/>
      <c r="F120" s="60"/>
      <c r="G120" s="60"/>
      <c r="H120" s="272"/>
      <c r="I120" s="60"/>
      <c r="J120" s="225"/>
      <c r="K120" s="60"/>
      <c r="L120" s="60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</row>
    <row r="121" spans="1:25" s="19" customFormat="1">
      <c r="A121" s="41"/>
      <c r="B121" s="60"/>
      <c r="D121" s="60"/>
      <c r="E121" s="60"/>
      <c r="F121" s="60"/>
      <c r="G121" s="60"/>
      <c r="H121" s="272"/>
      <c r="I121" s="60"/>
      <c r="J121" s="225"/>
      <c r="K121" s="60"/>
      <c r="L121" s="60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</row>
    <row r="122" spans="1:25" s="19" customFormat="1">
      <c r="A122" s="41"/>
      <c r="B122" s="60"/>
      <c r="D122" s="60"/>
      <c r="E122" s="60"/>
      <c r="F122" s="60"/>
      <c r="G122" s="60"/>
      <c r="H122" s="272"/>
      <c r="I122" s="60"/>
      <c r="J122" s="225"/>
      <c r="K122" s="60"/>
      <c r="L122" s="60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</row>
    <row r="123" spans="1:25" s="19" customFormat="1">
      <c r="A123" s="41"/>
      <c r="B123" s="60"/>
      <c r="D123" s="60"/>
      <c r="E123" s="60"/>
      <c r="F123" s="60"/>
      <c r="G123" s="60"/>
      <c r="H123" s="272"/>
      <c r="I123" s="60"/>
      <c r="J123" s="225"/>
      <c r="K123" s="60"/>
      <c r="L123" s="60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</row>
    <row r="124" spans="1:25" s="19" customFormat="1">
      <c r="A124" s="41"/>
      <c r="B124" s="60"/>
      <c r="D124" s="60"/>
      <c r="E124" s="60"/>
      <c r="F124" s="60"/>
      <c r="G124" s="60"/>
      <c r="H124" s="272"/>
      <c r="I124" s="60"/>
      <c r="J124" s="225"/>
      <c r="K124" s="60"/>
      <c r="L124" s="60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</row>
    <row r="125" spans="1:25" s="19" customFormat="1">
      <c r="A125" s="41"/>
      <c r="B125" s="60"/>
      <c r="D125" s="60"/>
      <c r="E125" s="60"/>
      <c r="F125" s="60"/>
      <c r="G125" s="60"/>
      <c r="H125" s="272"/>
      <c r="I125" s="60"/>
      <c r="J125" s="225"/>
      <c r="K125" s="60"/>
      <c r="L125" s="60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</row>
    <row r="126" spans="1:25" s="359" customFormat="1">
      <c r="A126" s="41"/>
      <c r="B126" s="60"/>
      <c r="C126" s="19"/>
      <c r="D126" s="60"/>
      <c r="E126" s="60"/>
      <c r="F126" s="60"/>
      <c r="G126" s="60"/>
      <c r="H126" s="272"/>
      <c r="I126" s="60"/>
      <c r="J126" s="225"/>
      <c r="K126" s="60"/>
      <c r="L126" s="60"/>
    </row>
    <row r="127" spans="1:25" s="359" customFormat="1">
      <c r="A127" s="41"/>
      <c r="B127" s="60"/>
      <c r="C127" s="19"/>
      <c r="D127" s="60"/>
      <c r="E127" s="60"/>
      <c r="F127" s="60"/>
      <c r="G127" s="60"/>
      <c r="H127" s="272"/>
      <c r="I127" s="60"/>
      <c r="J127" s="225"/>
      <c r="K127" s="60"/>
      <c r="L127" s="60"/>
    </row>
    <row r="128" spans="1:25" s="359" customFormat="1">
      <c r="A128" s="41"/>
      <c r="B128" s="60"/>
      <c r="C128" s="19"/>
      <c r="D128" s="60"/>
      <c r="E128" s="60"/>
      <c r="F128" s="60"/>
      <c r="G128" s="60"/>
      <c r="H128" s="272"/>
      <c r="I128" s="60"/>
      <c r="J128" s="225"/>
      <c r="K128" s="60"/>
      <c r="L128" s="60"/>
    </row>
    <row r="129" spans="1:12" s="359" customFormat="1">
      <c r="A129" s="41"/>
      <c r="B129" s="60"/>
      <c r="C129" s="19"/>
      <c r="D129" s="60"/>
      <c r="E129" s="60"/>
      <c r="F129" s="60"/>
      <c r="G129" s="60"/>
      <c r="H129" s="272"/>
      <c r="I129" s="60"/>
      <c r="J129" s="225"/>
      <c r="K129" s="60"/>
      <c r="L129" s="60"/>
    </row>
    <row r="130" spans="1:12" s="359" customFormat="1">
      <c r="A130" s="41"/>
      <c r="B130" s="60"/>
      <c r="C130" s="19"/>
      <c r="D130" s="60"/>
      <c r="E130" s="60"/>
      <c r="F130" s="60"/>
      <c r="G130" s="60"/>
      <c r="H130" s="272"/>
      <c r="I130" s="60"/>
      <c r="J130" s="225"/>
      <c r="K130" s="60"/>
      <c r="L130" s="60"/>
    </row>
    <row r="131" spans="1:12" s="359" customFormat="1">
      <c r="A131" s="41"/>
      <c r="B131" s="60"/>
      <c r="C131" s="19"/>
      <c r="D131" s="60"/>
      <c r="E131" s="60"/>
      <c r="F131" s="60"/>
      <c r="G131" s="60"/>
      <c r="H131" s="272"/>
      <c r="I131" s="60"/>
      <c r="J131" s="225"/>
      <c r="K131" s="60"/>
      <c r="L131" s="60"/>
    </row>
    <row r="132" spans="1:12" s="359" customFormat="1">
      <c r="A132" s="41"/>
      <c r="B132" s="60"/>
      <c r="C132" s="19"/>
      <c r="D132" s="60"/>
      <c r="E132" s="60"/>
      <c r="F132" s="60"/>
      <c r="G132" s="60"/>
      <c r="H132" s="272"/>
      <c r="I132" s="60"/>
      <c r="J132" s="225"/>
      <c r="K132" s="60"/>
      <c r="L132" s="60"/>
    </row>
    <row r="133" spans="1:12" s="359" customFormat="1">
      <c r="A133" s="41"/>
      <c r="B133" s="60"/>
      <c r="C133" s="19"/>
      <c r="D133" s="60"/>
      <c r="E133" s="60"/>
      <c r="F133" s="60"/>
      <c r="G133" s="60"/>
      <c r="H133" s="272"/>
      <c r="I133" s="60"/>
      <c r="J133" s="225"/>
      <c r="K133" s="60"/>
      <c r="L133" s="60"/>
    </row>
    <row r="134" spans="1:12" s="359" customFormat="1">
      <c r="A134" s="41"/>
      <c r="B134" s="60"/>
      <c r="C134" s="19"/>
      <c r="D134" s="60"/>
      <c r="E134" s="60"/>
      <c r="F134" s="60"/>
      <c r="G134" s="60"/>
      <c r="H134" s="272"/>
      <c r="I134" s="60"/>
      <c r="J134" s="225"/>
      <c r="K134" s="60"/>
      <c r="L134" s="60"/>
    </row>
    <row r="135" spans="1:12" s="359" customFormat="1">
      <c r="A135" s="41"/>
      <c r="B135" s="60"/>
      <c r="C135" s="19"/>
      <c r="D135" s="60"/>
      <c r="E135" s="60"/>
      <c r="F135" s="60"/>
      <c r="G135" s="60"/>
      <c r="H135" s="272"/>
      <c r="I135" s="60"/>
      <c r="J135" s="225"/>
      <c r="K135" s="60"/>
      <c r="L135" s="60"/>
    </row>
    <row r="136" spans="1:12" s="359" customFormat="1">
      <c r="A136" s="41"/>
      <c r="B136" s="60"/>
      <c r="C136" s="19"/>
      <c r="D136" s="60"/>
      <c r="E136" s="60"/>
      <c r="F136" s="60"/>
      <c r="G136" s="60"/>
      <c r="H136" s="272"/>
      <c r="I136" s="60"/>
      <c r="J136" s="225"/>
      <c r="K136" s="60"/>
      <c r="L136" s="60"/>
    </row>
    <row r="137" spans="1:12" s="359" customFormat="1">
      <c r="A137" s="41"/>
      <c r="B137" s="60"/>
      <c r="C137" s="19"/>
      <c r="D137" s="60"/>
      <c r="E137" s="60"/>
      <c r="F137" s="60"/>
      <c r="G137" s="60"/>
      <c r="H137" s="272"/>
      <c r="I137" s="60"/>
      <c r="J137" s="225"/>
      <c r="K137" s="60"/>
      <c r="L137" s="60"/>
    </row>
    <row r="138" spans="1:12" s="359" customFormat="1">
      <c r="A138" s="41"/>
      <c r="B138" s="60"/>
      <c r="C138" s="19"/>
      <c r="D138" s="60"/>
      <c r="E138" s="60"/>
      <c r="F138" s="60"/>
      <c r="G138" s="60"/>
      <c r="H138" s="272"/>
      <c r="I138" s="60"/>
      <c r="J138" s="225"/>
      <c r="K138" s="60"/>
      <c r="L138" s="60"/>
    </row>
    <row r="139" spans="1:12" s="359" customFormat="1">
      <c r="A139" s="41"/>
      <c r="B139" s="60"/>
      <c r="C139" s="19"/>
      <c r="D139" s="60"/>
      <c r="E139" s="60"/>
      <c r="F139" s="60"/>
      <c r="G139" s="60"/>
      <c r="H139" s="272"/>
      <c r="I139" s="60"/>
      <c r="J139" s="225"/>
      <c r="K139" s="60"/>
      <c r="L139" s="60"/>
    </row>
    <row r="140" spans="1:12" s="359" customFormat="1">
      <c r="A140" s="41"/>
      <c r="B140" s="60"/>
      <c r="C140" s="19"/>
      <c r="D140" s="60"/>
      <c r="E140" s="60"/>
      <c r="F140" s="60"/>
      <c r="G140" s="60"/>
      <c r="H140" s="272"/>
      <c r="I140" s="60"/>
      <c r="J140" s="225"/>
      <c r="K140" s="60"/>
      <c r="L140" s="60"/>
    </row>
    <row r="141" spans="1:12" s="359" customFormat="1">
      <c r="A141" s="50"/>
      <c r="B141" s="19"/>
      <c r="C141" s="19"/>
      <c r="D141" s="19"/>
      <c r="E141" s="19"/>
      <c r="F141" s="19"/>
      <c r="G141" s="19"/>
      <c r="H141" s="268"/>
      <c r="I141" s="19"/>
      <c r="J141" s="54"/>
      <c r="K141" s="19"/>
      <c r="L141" s="19"/>
    </row>
    <row r="142" spans="1:12" s="359" customFormat="1">
      <c r="A142" s="50"/>
      <c r="B142" s="19"/>
      <c r="C142" s="19"/>
      <c r="D142" s="19"/>
      <c r="E142" s="19"/>
      <c r="F142" s="19"/>
      <c r="G142" s="19"/>
      <c r="H142" s="268"/>
      <c r="I142" s="19"/>
      <c r="J142" s="54"/>
      <c r="K142" s="19"/>
      <c r="L142" s="19"/>
    </row>
    <row r="143" spans="1:12" s="359" customFormat="1">
      <c r="A143" s="50"/>
      <c r="B143" s="19"/>
      <c r="C143" s="19"/>
      <c r="D143" s="19"/>
      <c r="E143" s="19"/>
      <c r="F143" s="19"/>
      <c r="G143" s="19"/>
      <c r="H143" s="268"/>
      <c r="I143" s="19"/>
      <c r="J143" s="54"/>
      <c r="K143" s="19"/>
      <c r="L143" s="19"/>
    </row>
    <row r="144" spans="1:12" s="359" customFormat="1">
      <c r="A144" s="50"/>
      <c r="B144" s="19"/>
      <c r="C144" s="19"/>
      <c r="D144" s="19"/>
      <c r="E144" s="19"/>
      <c r="F144" s="19"/>
      <c r="G144" s="19"/>
      <c r="H144" s="268"/>
      <c r="I144" s="19"/>
      <c r="J144" s="54"/>
      <c r="K144" s="19"/>
      <c r="L144" s="19"/>
    </row>
    <row r="145" spans="1:12" s="359" customFormat="1">
      <c r="A145" s="50"/>
      <c r="B145" s="19"/>
      <c r="C145" s="19"/>
      <c r="D145" s="19"/>
      <c r="E145" s="19"/>
      <c r="F145" s="19"/>
      <c r="G145" s="19"/>
      <c r="H145" s="268"/>
      <c r="I145" s="19"/>
      <c r="J145" s="54"/>
      <c r="K145" s="19"/>
      <c r="L145" s="19"/>
    </row>
    <row r="146" spans="1:12" s="359" customFormat="1">
      <c r="A146" s="50"/>
      <c r="B146" s="19"/>
      <c r="C146" s="19"/>
      <c r="D146" s="19"/>
      <c r="E146" s="19"/>
      <c r="F146" s="19"/>
      <c r="G146" s="19"/>
      <c r="H146" s="268"/>
      <c r="I146" s="19"/>
      <c r="J146" s="54"/>
      <c r="K146" s="19"/>
      <c r="L146" s="19"/>
    </row>
    <row r="147" spans="1:12" s="359" customFormat="1">
      <c r="A147" s="50"/>
      <c r="B147" s="19"/>
      <c r="C147" s="19"/>
      <c r="D147" s="19"/>
      <c r="E147" s="19"/>
      <c r="F147" s="19"/>
      <c r="G147" s="19"/>
      <c r="H147" s="268"/>
      <c r="I147" s="19"/>
      <c r="J147" s="54"/>
      <c r="K147" s="19"/>
      <c r="L147" s="19"/>
    </row>
    <row r="148" spans="1:12" s="359" customFormat="1">
      <c r="A148" s="50"/>
      <c r="B148" s="19"/>
      <c r="C148" s="19"/>
      <c r="D148" s="19"/>
      <c r="E148" s="19"/>
      <c r="F148" s="19"/>
      <c r="G148" s="19"/>
      <c r="H148" s="268"/>
      <c r="I148" s="19"/>
      <c r="J148" s="54"/>
      <c r="K148" s="19"/>
      <c r="L148" s="19"/>
    </row>
    <row r="149" spans="1:12" s="359" customFormat="1">
      <c r="A149" s="50"/>
      <c r="B149" s="19"/>
      <c r="C149" s="19"/>
      <c r="D149" s="19"/>
      <c r="E149" s="19"/>
      <c r="F149" s="19"/>
      <c r="G149" s="19"/>
      <c r="H149" s="268"/>
      <c r="I149" s="19"/>
      <c r="J149" s="54"/>
      <c r="K149" s="19"/>
      <c r="L149" s="19"/>
    </row>
    <row r="150" spans="1:12" s="359" customFormat="1">
      <c r="A150" s="50"/>
      <c r="B150" s="19"/>
      <c r="C150" s="19"/>
      <c r="D150" s="19"/>
      <c r="E150" s="19"/>
      <c r="F150" s="19"/>
      <c r="G150" s="19"/>
      <c r="H150" s="268"/>
      <c r="I150" s="19"/>
      <c r="J150" s="54"/>
      <c r="K150" s="19"/>
      <c r="L150" s="19"/>
    </row>
    <row r="151" spans="1:12" s="359" customFormat="1">
      <c r="A151" s="50"/>
      <c r="B151" s="19"/>
      <c r="C151" s="19"/>
      <c r="D151" s="19"/>
      <c r="E151" s="19"/>
      <c r="F151" s="19"/>
      <c r="G151" s="19"/>
      <c r="H151" s="268"/>
      <c r="I151" s="19"/>
      <c r="J151" s="54"/>
      <c r="K151" s="19"/>
      <c r="L151" s="19"/>
    </row>
    <row r="167" spans="2:25" s="41" customFormat="1" ht="36.6" customHeight="1">
      <c r="B167" s="43"/>
      <c r="C167" s="19"/>
      <c r="D167" s="60"/>
      <c r="E167" s="60"/>
      <c r="F167" s="60"/>
      <c r="G167" s="60"/>
      <c r="H167" s="272"/>
      <c r="I167" s="60"/>
      <c r="J167" s="225"/>
      <c r="K167" s="60"/>
      <c r="L167" s="60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</row>
    <row r="174" spans="2:25" s="41" customFormat="1" ht="42.6" customHeight="1">
      <c r="B174" s="43"/>
      <c r="C174" s="19"/>
      <c r="D174" s="60"/>
      <c r="E174" s="60"/>
      <c r="F174" s="60"/>
      <c r="G174" s="60"/>
      <c r="H174" s="272"/>
      <c r="I174" s="60"/>
      <c r="J174" s="225"/>
      <c r="K174" s="60"/>
      <c r="L174" s="60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</row>
    <row r="181" spans="2:25" s="41" customFormat="1" ht="39.6" customHeight="1">
      <c r="B181" s="43"/>
      <c r="C181" s="19"/>
      <c r="D181" s="60"/>
      <c r="E181" s="60"/>
      <c r="F181" s="60"/>
      <c r="G181" s="60"/>
      <c r="H181" s="272"/>
      <c r="I181" s="60"/>
      <c r="J181" s="225"/>
      <c r="K181" s="60"/>
      <c r="L181" s="60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</row>
    <row r="472" spans="1:25" s="19" customFormat="1">
      <c r="A472" s="41"/>
      <c r="B472" s="43" t="s">
        <v>162</v>
      </c>
      <c r="D472" s="60"/>
      <c r="E472" s="60"/>
      <c r="F472" s="60"/>
      <c r="G472" s="60"/>
      <c r="H472" s="272"/>
      <c r="I472" s="60"/>
      <c r="J472" s="225"/>
      <c r="K472" s="60"/>
      <c r="L472" s="60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</row>
  </sheetData>
  <autoFilter ref="A8:L57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თ.ფ-1</vt:lpstr>
      <vt:lpstr>თ.ფ-1 (2)</vt:lpstr>
      <vt:lpstr>გბ</vt:lpstr>
      <vt:lpstr>კრებს-2</vt:lpstr>
      <vt:lpstr>2-1-სამ -ორხევი</vt:lpstr>
      <vt:lpstr>2-2-წკ</vt:lpstr>
      <vt:lpstr>2-3-გარე ქსელები </vt:lpstr>
      <vt:lpstr>2-4 ელ</vt:lpstr>
      <vt:lpstr>2-5-ვკ </vt:lpstr>
      <vt:lpstr>2-6-ეზო -ორხევი </vt:lpstr>
      <vt:lpstr>'2-1-სამ -ორხევი'!Print_Area</vt:lpstr>
      <vt:lpstr>'2-2-წკ'!Print_Area</vt:lpstr>
      <vt:lpstr>'2-3-გარე ქსელები '!Print_Area</vt:lpstr>
      <vt:lpstr>'2-5-ვკ '!Print_Area</vt:lpstr>
      <vt:lpstr>'2-6-ეზო -ორხევი '!Print_Area</vt:lpstr>
      <vt:lpstr>გბ!Print_Area</vt:lpstr>
      <vt:lpstr>'კრებს-2'!Print_Area</vt:lpstr>
      <vt:lpstr>'2-1-სამ -ორხევი'!Print_Titles</vt:lpstr>
      <vt:lpstr>'2-2-წკ'!Print_Titles</vt:lpstr>
      <vt:lpstr>'2-3-გარე ქსელები '!Print_Titles</vt:lpstr>
      <vt:lpstr>'2-5-ვკ '!Print_Titles</vt:lpstr>
      <vt:lpstr>'2-6-ეზო -ორხევი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Customer</cp:lastModifiedBy>
  <cp:lastPrinted>2021-07-24T07:22:44Z</cp:lastPrinted>
  <dcterms:created xsi:type="dcterms:W3CDTF">2016-12-11T22:18:00Z</dcterms:created>
  <dcterms:modified xsi:type="dcterms:W3CDTF">2021-08-13T17:09:13Z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